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mc:AlternateContent xmlns:mc="http://schemas.openxmlformats.org/markup-compatibility/2006">
    <mc:Choice Requires="x15">
      <x15ac:absPath xmlns:x15ac="http://schemas.microsoft.com/office/spreadsheetml/2010/11/ac" url="G:\Shared\Web Site Change Requests\Website Original Documents\Payroll\2022.01.21 Request\"/>
    </mc:Choice>
  </mc:AlternateContent>
  <xr:revisionPtr revIDLastSave="0" documentId="13_ncr:1_{6C679C4B-4AFC-48A0-BA1C-4F63EEE923B6}" xr6:coauthVersionLast="47" xr6:coauthVersionMax="47" xr10:uidLastSave="{00000000-0000-0000-0000-000000000000}"/>
  <bookViews>
    <workbookView xWindow="4800" yWindow="2832" windowWidth="27240" windowHeight="19764" activeTab="1" xr2:uid="{00000000-000D-0000-FFFF-FFFF00000000}"/>
  </bookViews>
  <sheets>
    <sheet name="Instructions" sheetId="7" r:id="rId1"/>
    <sheet name="Estimator" sheetId="1" r:id="rId2"/>
  </sheets>
  <definedNames>
    <definedName name="Post_2020">Estimator!$Q$3:$Q$5</definedName>
    <definedName name="Pre_2020">Estimator!$O$3:$O$5</definedName>
    <definedName name="_xlnm.Print_Area" localSheetId="1">Estimator!$B$2:$M$57</definedName>
    <definedName name="W4Line5">Estimator!$S$3:$S$102</definedName>
    <definedName name="W4Step2">Estimator!$Q$6:$Q$7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1" i="1" l="1"/>
  <c r="H115" i="1"/>
  <c r="I37" i="1"/>
  <c r="P38" i="1"/>
  <c r="C38" i="1" s="1"/>
  <c r="P39" i="1"/>
  <c r="P37" i="1"/>
  <c r="H103" i="1"/>
  <c r="H91" i="1"/>
  <c r="D115" i="1"/>
  <c r="D103" i="1"/>
  <c r="G44" i="1"/>
  <c r="P43" i="1" s="1"/>
  <c r="P40" i="1"/>
  <c r="P49" i="1"/>
  <c r="P53" i="1"/>
  <c r="P52" i="1"/>
  <c r="P50" i="1"/>
  <c r="P47" i="1"/>
  <c r="C13" i="1"/>
  <c r="C25" i="1"/>
  <c r="I63" i="1"/>
  <c r="C16" i="1"/>
  <c r="R6" i="1"/>
  <c r="R7" i="1"/>
  <c r="C48" i="1"/>
  <c r="P18" i="1"/>
  <c r="G36" i="1" s="1"/>
  <c r="P17" i="1"/>
  <c r="G35" i="1" s="1"/>
  <c r="P16" i="1"/>
  <c r="G34" i="1"/>
  <c r="P2" i="1"/>
  <c r="G75" i="1" s="1"/>
  <c r="G48" i="1"/>
  <c r="R2" i="1"/>
  <c r="R5" i="1"/>
  <c r="R4" i="1"/>
  <c r="I66" i="1" s="1"/>
  <c r="R3" i="1"/>
  <c r="P4" i="1"/>
  <c r="P3" i="1"/>
  <c r="P5" i="1"/>
  <c r="G51" i="1"/>
  <c r="P20" i="1"/>
  <c r="E18" i="1"/>
  <c r="C18" i="1"/>
  <c r="E15" i="1"/>
  <c r="C17" i="1"/>
  <c r="P10" i="1"/>
  <c r="G69" i="1"/>
  <c r="G70" i="1"/>
  <c r="C15" i="1"/>
  <c r="E17" i="1"/>
  <c r="E14" i="1"/>
  <c r="E16" i="1"/>
  <c r="E19" i="1"/>
  <c r="C19" i="1"/>
  <c r="R10" i="1"/>
  <c r="G38" i="1" l="1"/>
  <c r="G42" i="1" s="1"/>
  <c r="P45" i="1"/>
  <c r="P46" i="1" s="1"/>
  <c r="G46" i="1"/>
  <c r="G73" i="1"/>
  <c r="G74" i="1"/>
  <c r="C14" i="1"/>
  <c r="R9" i="1"/>
  <c r="I80" i="1" s="1"/>
  <c r="I81" i="1" s="1"/>
  <c r="R11" i="1"/>
  <c r="I65" i="1" s="1"/>
  <c r="I67" i="1" s="1"/>
  <c r="G60" i="1" l="1"/>
  <c r="G62" i="1" s="1"/>
  <c r="G71" i="1" s="1"/>
  <c r="G72" i="1" s="1"/>
  <c r="G76" i="1" s="1"/>
  <c r="G77" i="1" s="1"/>
  <c r="G78" i="1" s="1"/>
  <c r="G79" i="1" s="1"/>
  <c r="G83" i="1" s="1"/>
  <c r="I60" i="1"/>
  <c r="I62" i="1" s="1"/>
  <c r="I64" i="1" s="1"/>
  <c r="I68" i="1" s="1"/>
  <c r="I72" i="1" s="1"/>
  <c r="I75" i="1" l="1"/>
  <c r="I74" i="1"/>
  <c r="I73" i="1"/>
  <c r="I76" i="1" s="1"/>
  <c r="I77" i="1" l="1"/>
  <c r="I78" i="1" s="1"/>
  <c r="I79" i="1" s="1"/>
  <c r="I82" i="1" s="1"/>
  <c r="I83" i="1" s="1"/>
  <c r="G47" i="1" l="1"/>
  <c r="G5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Foster, John L S (DOA)</author>
  </authors>
  <commentList>
    <comment ref="I13" authorId="0" shapeId="0" xr:uid="{00000000-0006-0000-0100-000001000000}">
      <text>
        <r>
          <rPr>
            <b/>
            <sz val="9"/>
            <color indexed="81"/>
            <rFont val="Tahoma"/>
            <family val="2"/>
          </rPr>
          <t xml:space="preserve">IDENTIFYING W-4 YEAR
</t>
        </r>
        <r>
          <rPr>
            <b/>
            <u/>
            <sz val="9"/>
            <color indexed="81"/>
            <rFont val="Tahoma"/>
            <family val="2"/>
          </rPr>
          <t>2019</t>
        </r>
        <r>
          <rPr>
            <b/>
            <sz val="9"/>
            <color indexed="81"/>
            <rFont val="Tahoma"/>
            <family val="2"/>
          </rPr>
          <t xml:space="preserve">
W-4 forms from 2019 or earlier WILL include Allowances listed as a number (1,2,3, etc).
W-4 forms from 2019 or earlier WILL include the filing status option "Married but withhold at the higher Single rate".
</t>
        </r>
        <r>
          <rPr>
            <b/>
            <u/>
            <sz val="9"/>
            <color indexed="81"/>
            <rFont val="Tahoma"/>
            <family val="2"/>
          </rPr>
          <t>2020</t>
        </r>
        <r>
          <rPr>
            <b/>
            <sz val="9"/>
            <color indexed="81"/>
            <rFont val="Tahoma"/>
            <family val="2"/>
          </rPr>
          <t xml:space="preserve">
W-4 forms from 2020 or later will NOT include Allowances or the Married W/H as Single status option.
W-4 forms from 2020 or later WILL include Dependents, Other Income, and Deductions as $ dollar amounts.
W-4 forms from 2019 or earlier WILL include the option to check the box for Multiple Jobs.
W-4 forms from 2019 or earlier WILL include the filing status option "Head of Househould".</t>
        </r>
      </text>
    </comment>
    <comment ref="L22" authorId="0" shapeId="0" xr:uid="{00000000-0006-0000-0100-000002000000}">
      <text>
        <r>
          <rPr>
            <b/>
            <sz val="9"/>
            <color indexed="81"/>
            <rFont val="Tahoma"/>
            <family val="2"/>
          </rPr>
          <t>SBS, almost all EE's are eligible, not TRS, EFF's, few others</t>
        </r>
      </text>
    </comment>
    <comment ref="G29" authorId="0" shapeId="0" xr:uid="{00000000-0006-0000-0100-000003000000}">
      <text>
        <r>
          <rPr>
            <b/>
            <sz val="9"/>
            <color indexed="81"/>
            <rFont val="Tahoma"/>
            <family val="2"/>
          </rPr>
          <t>Enter additional earnings such as  premium pay and gross overpayment
collections.</t>
        </r>
      </text>
    </comment>
    <comment ref="G30" authorId="0" shapeId="0" xr:uid="{00000000-0006-0000-0100-000004000000}">
      <text>
        <r>
          <rPr>
            <b/>
            <sz val="9"/>
            <color indexed="81"/>
            <rFont val="Tahoma"/>
            <family val="2"/>
          </rPr>
          <t>Enter additional TAXABLE earnings such as travel, perdiem, moving, etc.</t>
        </r>
      </text>
    </comment>
    <comment ref="G31" authorId="0" shapeId="0" xr:uid="{00000000-0006-0000-0100-000005000000}">
      <text>
        <r>
          <rPr>
            <b/>
            <sz val="9"/>
            <color indexed="81"/>
            <rFont val="Tahoma"/>
            <family val="2"/>
          </rPr>
          <t>Enter additional NON-TAXABLE earnings such as travel, perdiem, moving, etc.</t>
        </r>
      </text>
    </comment>
    <comment ref="G32" authorId="0" shapeId="0" xr:uid="{00000000-0006-0000-0100-000006000000}">
      <text>
        <r>
          <rPr>
            <b/>
            <sz val="9"/>
            <color indexed="81"/>
            <rFont val="Tahoma"/>
            <family val="2"/>
          </rPr>
          <t xml:space="preserve">Enter any Legal Trust,
Vehicle Personal Use amounts, SSDP Tax Base, or Group Term Life-Tax Base add, etc. . .
</t>
        </r>
      </text>
    </comment>
    <comment ref="P36" authorId="0" shapeId="0" xr:uid="{00000000-0006-0000-0100-00000A000000}">
      <text>
        <r>
          <rPr>
            <b/>
            <sz val="9"/>
            <color indexed="81"/>
            <rFont val="Tahoma"/>
            <family val="2"/>
          </rPr>
          <t>CURRENT YEAR SBS MAX CONTRIBUTIONS</t>
        </r>
      </text>
    </comment>
    <comment ref="C37" authorId="0" shapeId="0" xr:uid="{00000000-0006-0000-0100-000007000000}">
      <text>
        <r>
          <rPr>
            <b/>
            <sz val="9"/>
            <color indexed="81"/>
            <rFont val="Tahoma"/>
            <family val="2"/>
          </rPr>
          <t>YTD - Prior to this net-pay calculation</t>
        </r>
      </text>
    </comment>
    <comment ref="G37" authorId="0" shapeId="0" xr:uid="{00000000-0006-0000-0100-000008000000}">
      <text>
        <r>
          <rPr>
            <b/>
            <sz val="9"/>
            <color indexed="81"/>
            <rFont val="Tahoma"/>
            <family val="2"/>
          </rPr>
          <t>This field only needs to be completed if SBS contributions are near the yearly max contributions</t>
        </r>
      </text>
    </comment>
    <comment ref="G39" authorId="0" shapeId="0" xr:uid="{00000000-0006-0000-0100-000009000000}">
      <text>
        <r>
          <rPr>
            <b/>
            <sz val="9"/>
            <color indexed="81"/>
            <rFont val="Tahoma"/>
            <family val="2"/>
          </rPr>
          <t xml:space="preserve">Enter other pre-tax deductions as a positive such as Health Insurance, SBS Vol, HCRA, etc.
</t>
        </r>
      </text>
    </comment>
    <comment ref="G40" authorId="0" shapeId="0" xr:uid="{00000000-0006-0000-0100-00000B000000}">
      <text>
        <r>
          <rPr>
            <b/>
            <sz val="9"/>
            <color indexed="81"/>
            <rFont val="Tahoma"/>
            <family val="2"/>
          </rPr>
          <t xml:space="preserve">Enter Deferred Comp amount as a positive
Also enter any PERS pre-tax indebtedness here
</t>
        </r>
      </text>
    </comment>
    <comment ref="C45" authorId="0" shapeId="0" xr:uid="{00000000-0006-0000-0100-00000C000000}">
      <text>
        <r>
          <rPr>
            <b/>
            <sz val="9"/>
            <color indexed="81"/>
            <rFont val="Tahoma"/>
            <family val="2"/>
          </rPr>
          <t>YTD - Prior to this net-pay calculation</t>
        </r>
      </text>
    </comment>
    <comment ref="G45" authorId="0" shapeId="0" xr:uid="{00000000-0006-0000-0100-00000D000000}">
      <text>
        <r>
          <rPr>
            <b/>
            <sz val="9"/>
            <color indexed="81"/>
            <rFont val="Tahoma"/>
            <family val="2"/>
          </rPr>
          <t>Only place an amount here if Employees MEDIR is possibly close to or over $2,900 YTD
Employer Medicare (MEDIR) amount taken from: DEDM 
Employee Deduction Summary, Medicare ER Annual Amount.</t>
        </r>
      </text>
    </comment>
    <comment ref="G46" authorId="0" shapeId="0" xr:uid="{00000000-0006-0000-0100-00000E000000}">
      <text>
        <r>
          <rPr>
            <b/>
            <sz val="9"/>
            <color indexed="81"/>
            <rFont val="Tahoma"/>
            <family val="2"/>
          </rPr>
          <t xml:space="preserve">This field will auto-calculate. 
Will only show an amount if there is over 200K in Medicare base for the year (equal to 2,900 MEDIR amount).
It is the amount derrived due to the employee's annual Medicare Base being over 200K. 
This increases the EE only Medicare contribution amount.
Based on .9% of the overage.
</t>
        </r>
      </text>
    </comment>
    <comment ref="G48" authorId="0" shapeId="0" xr:uid="{00000000-0006-0000-0100-00000F000000}">
      <text>
        <r>
          <rPr>
            <b/>
            <sz val="9"/>
            <color indexed="81"/>
            <rFont val="Tahoma"/>
            <family val="2"/>
          </rPr>
          <t>Any additional flat tax amount requested from employee's W-4 form are entered in the tax info at the top of this worksheet.</t>
        </r>
      </text>
    </comment>
    <comment ref="G53" authorId="0" shapeId="0" xr:uid="{00000000-0006-0000-0100-000010000000}">
      <text>
        <r>
          <rPr>
            <b/>
            <sz val="9"/>
            <color indexed="81"/>
            <rFont val="Tahoma"/>
            <family val="2"/>
          </rPr>
          <t>Include D509 here, 
Its not a pre-tax deduction.</t>
        </r>
      </text>
    </comment>
  </commentList>
</comments>
</file>

<file path=xl/sharedStrings.xml><?xml version="1.0" encoding="utf-8"?>
<sst xmlns="http://schemas.openxmlformats.org/spreadsheetml/2006/main" count="219" uniqueCount="159">
  <si>
    <t>Name:</t>
  </si>
  <si>
    <t>Leave Cashin/Payoff:</t>
  </si>
  <si>
    <t>Taxable Non-cash:</t>
  </si>
  <si>
    <t>SBS:</t>
  </si>
  <si>
    <t>Additional Pre-tax deductions:</t>
  </si>
  <si>
    <t>Deferred Comp:</t>
  </si>
  <si>
    <t>Taxable Gross:</t>
  </si>
  <si>
    <t>Medicare:</t>
  </si>
  <si>
    <t>Federal withholding:</t>
  </si>
  <si>
    <t>See Fed.Tax.Info.</t>
  </si>
  <si>
    <t>Union Dues:</t>
  </si>
  <si>
    <t>Bus Exp Recovery</t>
  </si>
  <si>
    <t>Misc. Deductions:</t>
  </si>
  <si>
    <t xml:space="preserve"> </t>
  </si>
  <si>
    <t>PERS/TRS Type DCR:</t>
  </si>
  <si>
    <t>Estimated Net Pay:</t>
  </si>
  <si>
    <t>380-399</t>
  </si>
  <si>
    <t>400-450</t>
  </si>
  <si>
    <t>EID:</t>
  </si>
  <si>
    <t>PERS Type C/M/A:</t>
  </si>
  <si>
    <t>PERS Type P/F:</t>
  </si>
  <si>
    <t>If needed</t>
  </si>
  <si>
    <t>Medicare Surtax over 200K</t>
  </si>
  <si>
    <t>477-479, 481-484, 486</t>
  </si>
  <si>
    <t>Select Life Ins:</t>
  </si>
  <si>
    <t>477-480, D802-810P, 486</t>
  </si>
  <si>
    <t>D570/D575</t>
  </si>
  <si>
    <t>D512/D510</t>
  </si>
  <si>
    <t>D514/D513</t>
  </si>
  <si>
    <t>D500</t>
  </si>
  <si>
    <t>D521/D522/D52C</t>
  </si>
  <si>
    <t>MEDIE</t>
  </si>
  <si>
    <t>FEDTX</t>
  </si>
  <si>
    <t>ADDTX</t>
  </si>
  <si>
    <t>D331-A,B</t>
  </si>
  <si>
    <t>D400-D450</t>
  </si>
  <si>
    <t>D701-D741</t>
  </si>
  <si>
    <r>
      <t>YTD EE MEDI-</t>
    </r>
    <r>
      <rPr>
        <b/>
        <sz val="10"/>
        <rFont val="Arial"/>
        <family val="2"/>
      </rPr>
      <t>R</t>
    </r>
  </si>
  <si>
    <t>NOTE: This should be a close estimation of the net pay calculated by the payroll system.</t>
  </si>
  <si>
    <t>348-382</t>
  </si>
  <si>
    <t xml:space="preserve">Total Medicare (Current PP Estimate + YTD Field):  </t>
  </si>
  <si>
    <t xml:space="preserve">Medicare Total For Earnings Threshold (1.45% of $200,000):  </t>
  </si>
  <si>
    <t xml:space="preserve">Difference between Total Medicare and Medicare for 200K:  </t>
  </si>
  <si>
    <t xml:space="preserve">Estimated YTD Income Over 200K Based on Medicare Total:  </t>
  </si>
  <si>
    <r>
      <rPr>
        <i/>
        <sz val="10"/>
        <rFont val="Arial"/>
        <family val="2"/>
      </rPr>
      <t>(checkbox)</t>
    </r>
    <r>
      <rPr>
        <sz val="10"/>
        <rFont val="Arial"/>
        <family val="2"/>
      </rPr>
      <t xml:space="preserve"> </t>
    </r>
    <r>
      <rPr>
        <b/>
        <sz val="10"/>
        <rFont val="Arial"/>
        <family val="2"/>
      </rPr>
      <t>Check if Medicare Eligible</t>
    </r>
    <r>
      <rPr>
        <sz val="10"/>
        <rFont val="Arial"/>
        <family val="2"/>
      </rPr>
      <t xml:space="preserve">:  </t>
    </r>
  </si>
  <si>
    <r>
      <rPr>
        <i/>
        <sz val="10"/>
        <rFont val="Arial"/>
        <family val="2"/>
      </rPr>
      <t xml:space="preserve">(checkbox) </t>
    </r>
    <r>
      <rPr>
        <b/>
        <sz val="10"/>
        <rFont val="Arial"/>
        <family val="2"/>
      </rPr>
      <t>Check if NOT SBS Eligible</t>
    </r>
    <r>
      <rPr>
        <sz val="10"/>
        <rFont val="Arial"/>
        <family val="2"/>
      </rPr>
      <t xml:space="preserve">:  </t>
    </r>
  </si>
  <si>
    <t>Married</t>
  </si>
  <si>
    <t>Single</t>
  </si>
  <si>
    <t>Associated
Earnings/Deduction
Codes</t>
  </si>
  <si>
    <t>Percentage
of Gross</t>
  </si>
  <si>
    <t>Yes</t>
  </si>
  <si>
    <t>No</t>
  </si>
  <si>
    <t>FEDERAL TAX INFORMATION</t>
  </si>
  <si>
    <t>2019 or Earlier</t>
  </si>
  <si>
    <t>2020 or Later</t>
  </si>
  <si>
    <t>Gross Pay:</t>
  </si>
  <si>
    <t>PERS TIER</t>
  </si>
  <si>
    <t>PERS Tier I/II/III - P/F</t>
  </si>
  <si>
    <t>PERS Tier I/II/III - C/M/A</t>
  </si>
  <si>
    <t>PERS Tier IV - All</t>
  </si>
  <si>
    <t>Married/Withhold as Single</t>
  </si>
  <si>
    <t>Head of Household</t>
  </si>
  <si>
    <t>Allowances</t>
  </si>
  <si>
    <t xml:space="preserve">Most Recent W-4 Filing (Year):  </t>
  </si>
  <si>
    <t>Step 3</t>
  </si>
  <si>
    <t>Step 4(A)</t>
  </si>
  <si>
    <t>Step 4(B)</t>
  </si>
  <si>
    <t>2019 &amp; Earlier</t>
  </si>
  <si>
    <t>2020 &amp; Later</t>
  </si>
  <si>
    <t xml:space="preserve">Pre-2020: </t>
  </si>
  <si>
    <t xml:space="preserve">Post-2020: </t>
  </si>
  <si>
    <t>Married Filing Jointly</t>
  </si>
  <si>
    <t>Single &amp; Married Filing Separately</t>
  </si>
  <si>
    <t>N/A</t>
  </si>
  <si>
    <t>1a</t>
  </si>
  <si>
    <t>1b</t>
  </si>
  <si>
    <t>1c</t>
  </si>
  <si>
    <t>1d</t>
  </si>
  <si>
    <t>1e</t>
  </si>
  <si>
    <t>1f</t>
  </si>
  <si>
    <t>1g</t>
  </si>
  <si>
    <t>1h</t>
  </si>
  <si>
    <t>1i</t>
  </si>
  <si>
    <t>1j</t>
  </si>
  <si>
    <t>1k</t>
  </si>
  <si>
    <t>1l</t>
  </si>
  <si>
    <t>2a</t>
  </si>
  <si>
    <t>2b</t>
  </si>
  <si>
    <t>2c</t>
  </si>
  <si>
    <t>2d</t>
  </si>
  <si>
    <t>2e</t>
  </si>
  <si>
    <t>2f</t>
  </si>
  <si>
    <t>2g</t>
  </si>
  <si>
    <t>2h</t>
  </si>
  <si>
    <t>3a</t>
  </si>
  <si>
    <t>3b</t>
  </si>
  <si>
    <t>3c</t>
  </si>
  <si>
    <t>A</t>
  </si>
  <si>
    <t>C</t>
  </si>
  <si>
    <t>D</t>
  </si>
  <si>
    <t xml:space="preserve">Taxable Wages this Pay Period </t>
  </si>
  <si>
    <t xml:space="preserve">Pay Periods Per Year </t>
  </si>
  <si>
    <t xml:space="preserve">1a X 1b </t>
  </si>
  <si>
    <t xml:space="preserve">Step 4(a) of 2020 or later W-4 </t>
  </si>
  <si>
    <t xml:space="preserve">1c + 1d </t>
  </si>
  <si>
    <t xml:space="preserve">Step 4(b) of 2020 or later W-4 </t>
  </si>
  <si>
    <t xml:space="preserve">1f + 1g </t>
  </si>
  <si>
    <t xml:space="preserve"># of Allowances on 2019 or earlier W-4 </t>
  </si>
  <si>
    <t xml:space="preserve">Adjusted Annual Wage Amount </t>
  </si>
  <si>
    <t xml:space="preserve">Wage Bracket Minimum (Column A) </t>
  </si>
  <si>
    <t xml:space="preserve">Tentative Witholding Amount (Column C) </t>
  </si>
  <si>
    <t xml:space="preserve">Percentage Witholding Amount  (Column D) </t>
  </si>
  <si>
    <t xml:space="preserve">2a - 2b </t>
  </si>
  <si>
    <t xml:space="preserve">2e X 2d </t>
  </si>
  <si>
    <t xml:space="preserve">2c + 2f </t>
  </si>
  <si>
    <t xml:space="preserve">(Skip 4a/4b) Final Withholding (not including ADDTX) </t>
  </si>
  <si>
    <t>1j X $4,300</t>
  </si>
  <si>
    <t>Step 2 of 2020 or later W-4  ($0, $12900, $8600)</t>
  </si>
  <si>
    <t xml:space="preserve">Step 3 of 2020 or later W-4 </t>
  </si>
  <si>
    <t xml:space="preserve">1e - 1h, if less then $0 then $0 </t>
  </si>
  <si>
    <t xml:space="preserve">1c - 1k, if less then $0 then $0 </t>
  </si>
  <si>
    <t xml:space="preserve">2h - 3b, if less then $0 then $0 </t>
  </si>
  <si>
    <t>Additional Taxable Retirement Earnings:</t>
  </si>
  <si>
    <t>Additional Taxable Non Retirement Earnings:</t>
  </si>
  <si>
    <r>
      <t xml:space="preserve">Additional </t>
    </r>
    <r>
      <rPr>
        <u/>
        <sz val="10"/>
        <rFont val="Arial"/>
        <family val="2"/>
      </rPr>
      <t>Non-taxable</t>
    </r>
    <r>
      <rPr>
        <sz val="10"/>
        <rFont val="Arial"/>
        <family val="2"/>
      </rPr>
      <t xml:space="preserve"> Earnings:</t>
    </r>
  </si>
  <si>
    <t>This worksheet requires a detailed understanding of the State of Alaska payroll system.  Even small errors in the entered data will cause the results to be incorrect.</t>
  </si>
  <si>
    <t>MISSING REQUIRED FIELDS</t>
  </si>
  <si>
    <t>Allowances List</t>
  </si>
  <si>
    <t>Single or Married Filing Separately</t>
  </si>
  <si>
    <t>Single/Married But WH at Single</t>
  </si>
  <si>
    <t>Single/Married Filing Separately</t>
  </si>
  <si>
    <t>fields are REQUIRED and must be filled out.</t>
  </si>
  <si>
    <t>fields are OPTIONAL and should be filled it out as applicable.</t>
  </si>
  <si>
    <t>fields are automatically calculated and should NOT be changed or else calculations may not be correct.</t>
  </si>
  <si>
    <t>YELLOW</t>
  </si>
  <si>
    <t>WHITE</t>
  </si>
  <si>
    <t>GRAY</t>
  </si>
  <si>
    <t>←←←</t>
  </si>
  <si>
    <r>
      <rPr>
        <b/>
        <sz val="10"/>
        <rFont val="Arial"/>
        <family val="2"/>
      </rPr>
      <t xml:space="preserve">  </t>
    </r>
    <r>
      <rPr>
        <b/>
        <u/>
        <sz val="10"/>
        <rFont val="Arial"/>
        <family val="2"/>
      </rPr>
      <t xml:space="preserve">TIP!
</t>
    </r>
    <r>
      <rPr>
        <sz val="10"/>
        <rFont val="Arial"/>
        <family val="2"/>
      </rPr>
      <t xml:space="preserve">
</t>
    </r>
    <r>
      <rPr>
        <b/>
        <sz val="10"/>
        <rFont val="Arial"/>
        <family val="2"/>
      </rPr>
      <t xml:space="preserve">  Not getting the expected results?
</t>
    </r>
    <r>
      <rPr>
        <sz val="10"/>
        <rFont val="Arial"/>
        <family val="2"/>
      </rPr>
      <t xml:space="preserve">
</t>
    </r>
    <r>
      <rPr>
        <b/>
        <sz val="10"/>
        <rFont val="Arial"/>
        <family val="2"/>
      </rPr>
      <t xml:space="preserve">  POSITIVE</t>
    </r>
    <r>
      <rPr>
        <sz val="10"/>
        <rFont val="Arial"/>
        <family val="2"/>
      </rPr>
      <t xml:space="preserve"> amounts in this/these field(s) </t>
    </r>
    <r>
      <rPr>
        <b/>
        <sz val="10"/>
        <rFont val="Arial"/>
        <family val="2"/>
      </rPr>
      <t>DECREASE</t>
    </r>
    <r>
      <rPr>
        <sz val="10"/>
        <rFont val="Arial"/>
        <family val="2"/>
      </rPr>
      <t xml:space="preserve"> net pay.
</t>
    </r>
    <r>
      <rPr>
        <b/>
        <sz val="10"/>
        <rFont val="Arial"/>
        <family val="2"/>
      </rPr>
      <t xml:space="preserve">
  NEGATIVE</t>
    </r>
    <r>
      <rPr>
        <sz val="10"/>
        <rFont val="Arial"/>
        <family val="2"/>
      </rPr>
      <t xml:space="preserve"> amounts in this/these field(s) </t>
    </r>
    <r>
      <rPr>
        <b/>
        <sz val="10"/>
        <rFont val="Arial"/>
        <family val="2"/>
      </rPr>
      <t>INCREASE</t>
    </r>
    <r>
      <rPr>
        <sz val="10"/>
        <rFont val="Arial"/>
        <family val="2"/>
      </rPr>
      <t xml:space="preserve"> net pay.
  If your results are off, make sure this/these field(s) are entered as you intended.</t>
    </r>
  </si>
  <si>
    <t xml:space="preserve">2g ÷ 1b (= Tentative Witholding Amount) </t>
  </si>
  <si>
    <t xml:space="preserve">3a ÷ 1b </t>
  </si>
  <si>
    <t>NETPAY ESTIMATOR</t>
  </si>
  <si>
    <t>YTD SBS:</t>
  </si>
  <si>
    <t>WARNING: YTD SBSSHOULD BE BETWEEN $8441.01 and $0.00
Check your entry in this field.</t>
  </si>
  <si>
    <t>Taxable Non-cash (offset):</t>
  </si>
  <si>
    <t>2019 W-4 (OR)
2020 W-4 with Step 2 box UNCHECKED</t>
  </si>
  <si>
    <t>2020 W-4 with Step 2 box CHECKED</t>
  </si>
  <si>
    <t>Last updated 1/1/2021</t>
  </si>
  <si>
    <t xml:space="preserve">Annual SBS cap:  </t>
  </si>
  <si>
    <t xml:space="preserve">Is YTD SBS negative or above cap (incorrect entry)?  </t>
  </si>
  <si>
    <t xml:space="preserve">Is Additional Pre-Tax a negative number (incorrect entry)?  </t>
  </si>
  <si>
    <t xml:space="preserve">Is Deferred Comp a negative number (incorrect entry)?  </t>
  </si>
  <si>
    <t>Percentage Method on IRS PUB 15-T (2022)</t>
  </si>
  <si>
    <t xml:space="preserve">Is YTD EE MEDI-R a negative number (incorrect entry)?  </t>
  </si>
  <si>
    <t xml:space="preserve">Is Select Life Ins a negative number (incorrect entry)?  </t>
  </si>
  <si>
    <t xml:space="preserve">Is Union Dues a negative number (incorrect entry)?  </t>
  </si>
  <si>
    <t xml:space="preserve">Is Bus Exp Recovery a negative number (incorrect entry)?  </t>
  </si>
  <si>
    <t xml:space="preserve">Is Misc. Deductions a negative number (incorrect entry)?  </t>
  </si>
  <si>
    <t xml:space="preserve">Use 22% Supplemental Income Tax Rate instead of marginal?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</si>
</sst>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00\-0000"/>
    <numFmt numFmtId="165" formatCode="&quot;$&quot;#,##0.00"/>
    <numFmt numFmtId="166" formatCode="000000"/>
  </numFmts>
  <fonts count="25" x14ac:knownFonts="1">
    <font>
      <sz val="10"/>
      <name val="Arial"/>
    </font>
    <font>
      <sz val="10"/>
      <name val="Arial"/>
      <family val="2"/>
    </font>
    <font>
      <sz val="11"/>
      <name val="Arial"/>
      <family val="2"/>
    </font>
    <font>
      <b/>
      <sz val="16"/>
      <name val="Arial"/>
      <family val="2"/>
    </font>
    <font>
      <sz val="12"/>
      <name val="Arial"/>
      <family val="2"/>
    </font>
    <font>
      <b/>
      <sz val="12"/>
      <name val="Arial"/>
      <family val="2"/>
    </font>
    <font>
      <sz val="10"/>
      <color indexed="10"/>
      <name val="Arial"/>
      <family val="2"/>
    </font>
    <font>
      <b/>
      <sz val="14"/>
      <name val="Arial"/>
      <family val="2"/>
    </font>
    <font>
      <sz val="14"/>
      <name val="Arial"/>
      <family val="2"/>
    </font>
    <font>
      <b/>
      <sz val="10"/>
      <color indexed="10"/>
      <name val="Arial"/>
      <family val="2"/>
    </font>
    <font>
      <b/>
      <sz val="10"/>
      <name val="Arial"/>
      <family val="2"/>
    </font>
    <font>
      <u/>
      <sz val="10"/>
      <name val="Arial"/>
      <family val="2"/>
    </font>
    <font>
      <b/>
      <sz val="20"/>
      <name val="Arial"/>
      <family val="2"/>
    </font>
    <font>
      <b/>
      <sz val="9"/>
      <color indexed="81"/>
      <name val="Tahoma"/>
      <family val="2"/>
    </font>
    <font>
      <b/>
      <sz val="10"/>
      <color indexed="62"/>
      <name val="Arial"/>
      <family val="2"/>
    </font>
    <font>
      <i/>
      <sz val="10"/>
      <name val="Arial"/>
      <family val="2"/>
    </font>
    <font>
      <b/>
      <sz val="8"/>
      <name val="Arial"/>
      <family val="2"/>
    </font>
    <font>
      <b/>
      <u/>
      <sz val="10"/>
      <name val="Arial"/>
      <family val="2"/>
    </font>
    <font>
      <b/>
      <u/>
      <sz val="9"/>
      <color indexed="81"/>
      <name val="Tahoma"/>
      <family val="2"/>
    </font>
    <font>
      <b/>
      <sz val="10"/>
      <color rgb="FFFF0000"/>
      <name val="Arial"/>
      <family val="2"/>
    </font>
    <font>
      <sz val="8"/>
      <color theme="1" tint="0.499984740745262"/>
      <name val="Arial"/>
      <family val="2"/>
    </font>
    <font>
      <sz val="12"/>
      <color theme="1" tint="0.499984740745262"/>
      <name val="Arial"/>
      <family val="2"/>
    </font>
    <font>
      <b/>
      <sz val="10"/>
      <color theme="1"/>
      <name val="Arial"/>
      <family val="2"/>
    </font>
    <font>
      <sz val="12"/>
      <color theme="1" tint="0.34998626667073579"/>
      <name val="Arial"/>
      <family val="2"/>
    </font>
    <font>
      <sz val="8"/>
      <color rgb="FF000000"/>
      <name val="Tahoma"/>
      <family val="2"/>
    </font>
  </fonts>
  <fills count="13">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rgb="FFFFCC99"/>
        <bgColor indexed="64"/>
      </patternFill>
    </fill>
    <fill>
      <patternFill patternType="solid">
        <fgColor rgb="FFCCFFCC"/>
        <bgColor indexed="64"/>
      </patternFill>
    </fill>
    <fill>
      <patternFill patternType="solid">
        <fgColor rgb="FFFFFF99"/>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92D050"/>
        <bgColor indexed="64"/>
      </patternFill>
    </fill>
  </fills>
  <borders count="34">
    <border>
      <left/>
      <right/>
      <top/>
      <bottom/>
      <diagonal/>
    </border>
    <border>
      <left/>
      <right style="double">
        <color indexed="64"/>
      </right>
      <top/>
      <bottom/>
      <diagonal/>
    </border>
    <border>
      <left/>
      <right/>
      <top style="double">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right style="medium">
        <color indexed="64"/>
      </right>
      <top/>
      <bottom style="medium">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bottom/>
      <diagonal/>
    </border>
    <border>
      <left/>
      <right style="double">
        <color indexed="64"/>
      </right>
      <top style="double">
        <color indexed="64"/>
      </top>
      <bottom/>
      <diagonal/>
    </border>
  </borders>
  <cellStyleXfs count="4">
    <xf numFmtId="0" fontId="0" fillId="0" borderId="0"/>
    <xf numFmtId="44" fontId="1" fillId="0" borderId="0" applyFont="0" applyFill="0" applyBorder="0" applyAlignment="0" applyProtection="0"/>
    <xf numFmtId="0" fontId="4" fillId="0" borderId="0"/>
    <xf numFmtId="9" fontId="1" fillId="0" borderId="0" applyFont="0" applyFill="0" applyBorder="0" applyAlignment="0" applyProtection="0"/>
  </cellStyleXfs>
  <cellXfs count="247">
    <xf numFmtId="0" fontId="0" fillId="0" borderId="0" xfId="0"/>
    <xf numFmtId="0" fontId="4" fillId="0" borderId="0" xfId="2"/>
    <xf numFmtId="44" fontId="5" fillId="0" borderId="0" xfId="1" applyFont="1" applyFill="1" applyBorder="1" applyProtection="1"/>
    <xf numFmtId="0" fontId="2" fillId="0" borderId="1" xfId="0" applyFont="1" applyBorder="1" applyAlignment="1" applyProtection="1">
      <alignment horizontal="left" vertical="center" wrapText="1"/>
    </xf>
    <xf numFmtId="0" fontId="1" fillId="0" borderId="1" xfId="0" applyFont="1" applyBorder="1" applyAlignment="1" applyProtection="1">
      <alignment horizontal="center"/>
    </xf>
    <xf numFmtId="0" fontId="6" fillId="0" borderId="0" xfId="0" applyFont="1" applyFill="1" applyBorder="1" applyAlignment="1" applyProtection="1">
      <alignment horizontal="center"/>
    </xf>
    <xf numFmtId="0" fontId="1" fillId="0" borderId="0" xfId="0" applyFont="1" applyBorder="1" applyAlignment="1" applyProtection="1">
      <alignment horizontal="right"/>
    </xf>
    <xf numFmtId="0" fontId="5" fillId="0" borderId="0" xfId="0" applyFont="1" applyBorder="1" applyAlignment="1" applyProtection="1">
      <alignment horizontal="right"/>
    </xf>
    <xf numFmtId="0" fontId="1" fillId="0" borderId="0" xfId="0" applyFont="1" applyAlignment="1" applyProtection="1">
      <alignment horizontal="left"/>
    </xf>
    <xf numFmtId="0" fontId="12" fillId="0" borderId="2" xfId="0" applyFont="1" applyBorder="1" applyProtection="1"/>
    <xf numFmtId="0" fontId="1" fillId="0" borderId="0" xfId="0" applyFont="1" applyBorder="1" applyProtection="1"/>
    <xf numFmtId="0" fontId="10" fillId="0" borderId="1" xfId="0" applyFont="1" applyBorder="1" applyAlignment="1" applyProtection="1">
      <alignment horizontal="center"/>
    </xf>
    <xf numFmtId="0" fontId="1" fillId="0" borderId="1" xfId="0" applyFont="1" applyFill="1" applyBorder="1" applyAlignment="1" applyProtection="1">
      <alignment horizontal="center" wrapText="1"/>
    </xf>
    <xf numFmtId="3" fontId="1" fillId="0" borderId="1" xfId="0" applyNumberFormat="1" applyFont="1" applyBorder="1" applyAlignment="1" applyProtection="1">
      <alignment horizontal="center"/>
    </xf>
    <xf numFmtId="49" fontId="1" fillId="0" borderId="1" xfId="0" applyNumberFormat="1" applyFont="1" applyBorder="1" applyAlignment="1" applyProtection="1">
      <alignment horizontal="center"/>
    </xf>
    <xf numFmtId="0" fontId="6" fillId="0" borderId="0" xfId="0" applyNumberFormat="1" applyFont="1" applyFill="1" applyBorder="1" applyAlignment="1" applyProtection="1">
      <alignment horizontal="center"/>
    </xf>
    <xf numFmtId="0" fontId="4" fillId="0" borderId="0" xfId="1" applyNumberFormat="1" applyFont="1" applyFill="1" applyBorder="1" applyProtection="1"/>
    <xf numFmtId="0" fontId="4" fillId="0" borderId="1" xfId="1" applyNumberFormat="1" applyFont="1" applyFill="1" applyBorder="1" applyProtection="1"/>
    <xf numFmtId="0" fontId="1" fillId="0" borderId="0" xfId="0" applyFont="1" applyBorder="1" applyAlignment="1" applyProtection="1">
      <alignment horizontal="center"/>
    </xf>
    <xf numFmtId="0" fontId="1" fillId="0" borderId="0" xfId="0" applyFont="1" applyProtection="1"/>
    <xf numFmtId="0" fontId="10" fillId="0" borderId="0" xfId="0" applyFont="1" applyFill="1" applyBorder="1" applyAlignment="1" applyProtection="1">
      <alignment horizontal="right"/>
    </xf>
    <xf numFmtId="0" fontId="10" fillId="0" borderId="0" xfId="0" applyFont="1" applyFill="1" applyBorder="1" applyAlignment="1" applyProtection="1">
      <alignment horizontal="center"/>
    </xf>
    <xf numFmtId="0" fontId="10" fillId="0" borderId="0" xfId="0" applyFont="1" applyFill="1" applyBorder="1" applyAlignment="1" applyProtection="1"/>
    <xf numFmtId="0" fontId="1" fillId="0" borderId="2" xfId="0" applyFont="1" applyBorder="1" applyProtection="1"/>
    <xf numFmtId="0" fontId="1" fillId="0" borderId="1" xfId="0" applyFont="1" applyBorder="1" applyAlignment="1" applyProtection="1">
      <alignment horizontal="right"/>
    </xf>
    <xf numFmtId="0" fontId="1" fillId="0" borderId="1" xfId="0" applyFont="1" applyBorder="1" applyAlignment="1" applyProtection="1">
      <alignment horizontal="left" vertical="center" wrapText="1"/>
    </xf>
    <xf numFmtId="0" fontId="1" fillId="0" borderId="1" xfId="0" applyFont="1" applyBorder="1" applyProtection="1"/>
    <xf numFmtId="0" fontId="1" fillId="0" borderId="0" xfId="0" applyFont="1" applyBorder="1" applyAlignment="1" applyProtection="1">
      <alignment horizontal="left"/>
    </xf>
    <xf numFmtId="0" fontId="1" fillId="0" borderId="1" xfId="0" applyFont="1" applyFill="1" applyBorder="1" applyAlignment="1" applyProtection="1"/>
    <xf numFmtId="0" fontId="1" fillId="0" borderId="1" xfId="0" applyNumberFormat="1" applyFont="1" applyBorder="1" applyProtection="1"/>
    <xf numFmtId="0" fontId="1" fillId="0" borderId="0" xfId="0" applyNumberFormat="1" applyFont="1" applyBorder="1" applyProtection="1"/>
    <xf numFmtId="0" fontId="1" fillId="0" borderId="1" xfId="0" applyNumberFormat="1" applyFont="1" applyFill="1" applyBorder="1" applyProtection="1"/>
    <xf numFmtId="0" fontId="1" fillId="0" borderId="0" xfId="0" applyFont="1" applyAlignment="1" applyProtection="1">
      <alignment horizontal="center"/>
    </xf>
    <xf numFmtId="0" fontId="3" fillId="2" borderId="3" xfId="0" applyFont="1" applyFill="1" applyBorder="1" applyAlignment="1" applyProtection="1"/>
    <xf numFmtId="0" fontId="1" fillId="2" borderId="4" xfId="0" applyFont="1" applyFill="1" applyBorder="1" applyAlignment="1" applyProtection="1">
      <alignment horizontal="center"/>
    </xf>
    <xf numFmtId="0" fontId="1" fillId="2" borderId="4" xfId="0" applyFont="1" applyFill="1" applyBorder="1" applyProtection="1"/>
    <xf numFmtId="0" fontId="1" fillId="2" borderId="5" xfId="0" applyFont="1" applyFill="1" applyBorder="1" applyAlignment="1" applyProtection="1">
      <alignment horizontal="center"/>
    </xf>
    <xf numFmtId="164" fontId="3" fillId="2" borderId="6" xfId="0" applyNumberFormat="1" applyFont="1" applyFill="1" applyBorder="1" applyAlignment="1" applyProtection="1"/>
    <xf numFmtId="0" fontId="1" fillId="2" borderId="7" xfId="0" applyFont="1" applyFill="1" applyBorder="1" applyProtection="1"/>
    <xf numFmtId="0" fontId="1" fillId="2" borderId="8" xfId="0" applyFont="1" applyFill="1" applyBorder="1" applyProtection="1"/>
    <xf numFmtId="0" fontId="10" fillId="0" borderId="0" xfId="0" applyFont="1" applyBorder="1" applyAlignment="1" applyProtection="1">
      <alignment horizontal="center"/>
    </xf>
    <xf numFmtId="0" fontId="1" fillId="0" borderId="0" xfId="0" applyFont="1" applyAlignment="1" applyProtection="1">
      <alignment shrinkToFit="1"/>
    </xf>
    <xf numFmtId="0" fontId="1" fillId="0" borderId="9" xfId="0" applyFont="1" applyBorder="1" applyAlignment="1" applyProtection="1">
      <alignment shrinkToFit="1"/>
    </xf>
    <xf numFmtId="0" fontId="1" fillId="0" borderId="2" xfId="0" applyFont="1" applyBorder="1" applyAlignment="1" applyProtection="1">
      <alignment shrinkToFit="1"/>
    </xf>
    <xf numFmtId="0" fontId="1" fillId="3" borderId="10" xfId="0" applyFont="1" applyFill="1" applyBorder="1" applyAlignment="1" applyProtection="1">
      <alignment horizontal="center"/>
    </xf>
    <xf numFmtId="0" fontId="1" fillId="0" borderId="10" xfId="0" applyFont="1" applyBorder="1" applyAlignment="1" applyProtection="1">
      <alignment horizontal="right"/>
    </xf>
    <xf numFmtId="0" fontId="1" fillId="0" borderId="11" xfId="0" applyFont="1" applyBorder="1" applyProtection="1"/>
    <xf numFmtId="0" fontId="2" fillId="0" borderId="0" xfId="0" applyFont="1" applyProtection="1"/>
    <xf numFmtId="0" fontId="2" fillId="0" borderId="11" xfId="0" applyFont="1" applyBorder="1" applyProtection="1"/>
    <xf numFmtId="0" fontId="1" fillId="0" borderId="10" xfId="0" applyFont="1" applyFill="1" applyBorder="1" applyProtection="1"/>
    <xf numFmtId="0" fontId="1" fillId="0" borderId="0" xfId="0" applyFont="1" applyAlignment="1" applyProtection="1"/>
    <xf numFmtId="0" fontId="1" fillId="0" borderId="0" xfId="0" applyFont="1" applyAlignment="1" applyProtection="1">
      <alignment horizontal="right"/>
    </xf>
    <xf numFmtId="1" fontId="1" fillId="4" borderId="1" xfId="0" applyNumberFormat="1" applyFont="1" applyFill="1" applyBorder="1" applyAlignment="1" applyProtection="1">
      <alignment horizontal="center"/>
    </xf>
    <xf numFmtId="0" fontId="10" fillId="0" borderId="10" xfId="0" applyFont="1" applyBorder="1" applyAlignment="1" applyProtection="1">
      <alignment horizontal="right" vertical="center"/>
    </xf>
    <xf numFmtId="44" fontId="1" fillId="0" borderId="0" xfId="1" applyFont="1" applyBorder="1" applyProtection="1"/>
    <xf numFmtId="0" fontId="1" fillId="0" borderId="0" xfId="0" applyFont="1" applyFill="1" applyBorder="1" applyAlignment="1" applyProtection="1">
      <alignment shrinkToFit="1"/>
    </xf>
    <xf numFmtId="44" fontId="1" fillId="0" borderId="0" xfId="1" applyFont="1" applyFill="1" applyBorder="1" applyProtection="1"/>
    <xf numFmtId="10" fontId="1" fillId="0" borderId="0" xfId="3" applyNumberFormat="1" applyFont="1" applyFill="1" applyBorder="1" applyProtection="1"/>
    <xf numFmtId="0" fontId="1" fillId="0" borderId="10" xfId="0" applyFont="1" applyFill="1" applyBorder="1" applyAlignment="1" applyProtection="1">
      <alignment horizontal="right" vertical="center"/>
    </xf>
    <xf numFmtId="0" fontId="1" fillId="3" borderId="10" xfId="0" applyFont="1" applyFill="1" applyBorder="1" applyProtection="1"/>
    <xf numFmtId="44" fontId="1" fillId="0" borderId="0" xfId="1" applyFont="1" applyFill="1" applyBorder="1" applyAlignment="1" applyProtection="1">
      <alignment horizontal="right"/>
    </xf>
    <xf numFmtId="44" fontId="1" fillId="0" borderId="11" xfId="0" applyNumberFormat="1" applyFont="1" applyBorder="1" applyProtection="1"/>
    <xf numFmtId="44" fontId="1" fillId="0" borderId="0" xfId="0" applyNumberFormat="1" applyFont="1" applyBorder="1" applyProtection="1"/>
    <xf numFmtId="0" fontId="10" fillId="0" borderId="12" xfId="0" applyFont="1" applyBorder="1" applyAlignment="1" applyProtection="1">
      <alignment horizontal="center"/>
    </xf>
    <xf numFmtId="0" fontId="10" fillId="0" borderId="13" xfId="0" applyFont="1" applyBorder="1" applyAlignment="1" applyProtection="1">
      <alignment horizontal="center"/>
    </xf>
    <xf numFmtId="0" fontId="10" fillId="0" borderId="14" xfId="0" applyFont="1" applyBorder="1" applyAlignment="1" applyProtection="1">
      <alignment horizontal="center"/>
    </xf>
    <xf numFmtId="0" fontId="1" fillId="3" borderId="15" xfId="0" applyFont="1" applyFill="1" applyBorder="1" applyProtection="1"/>
    <xf numFmtId="0" fontId="1" fillId="3" borderId="16" xfId="0" applyFont="1" applyFill="1" applyBorder="1" applyProtection="1"/>
    <xf numFmtId="1" fontId="1" fillId="0" borderId="0" xfId="0" applyNumberFormat="1" applyFont="1" applyAlignment="1" applyProtection="1">
      <alignment horizontal="center"/>
    </xf>
    <xf numFmtId="3" fontId="1" fillId="3" borderId="10" xfId="0" applyNumberFormat="1" applyFont="1" applyFill="1" applyBorder="1" applyAlignment="1" applyProtection="1">
      <alignment horizontal="center"/>
    </xf>
    <xf numFmtId="0" fontId="1" fillId="3" borderId="17" xfId="0" applyFont="1" applyFill="1" applyBorder="1" applyAlignment="1" applyProtection="1">
      <alignment horizontal="center"/>
    </xf>
    <xf numFmtId="44" fontId="1" fillId="3" borderId="10" xfId="0" applyNumberFormat="1" applyFont="1" applyFill="1" applyBorder="1" applyProtection="1"/>
    <xf numFmtId="165" fontId="1" fillId="5" borderId="10" xfId="0" applyNumberFormat="1" applyFont="1" applyFill="1" applyBorder="1" applyProtection="1"/>
    <xf numFmtId="0" fontId="3" fillId="0" borderId="0" xfId="0" applyFont="1" applyBorder="1" applyAlignment="1" applyProtection="1">
      <alignment horizontal="right"/>
    </xf>
    <xf numFmtId="0" fontId="10" fillId="0" borderId="0" xfId="0" applyFont="1" applyBorder="1" applyAlignment="1" applyProtection="1">
      <alignment horizontal="left" vertical="center" wrapText="1"/>
    </xf>
    <xf numFmtId="0" fontId="10" fillId="0" borderId="10" xfId="0" applyFont="1" applyBorder="1" applyAlignment="1" applyProtection="1">
      <alignment horizontal="right"/>
    </xf>
    <xf numFmtId="0" fontId="10" fillId="0" borderId="10" xfId="0" applyFont="1" applyFill="1" applyBorder="1" applyAlignment="1" applyProtection="1">
      <alignment horizontal="right"/>
    </xf>
    <xf numFmtId="0" fontId="19" fillId="6" borderId="10" xfId="0" applyFont="1" applyFill="1" applyBorder="1" applyProtection="1"/>
    <xf numFmtId="165" fontId="1" fillId="3" borderId="17" xfId="0" applyNumberFormat="1" applyFont="1" applyFill="1" applyBorder="1" applyAlignment="1" applyProtection="1">
      <alignment horizontal="center"/>
    </xf>
    <xf numFmtId="1" fontId="1" fillId="0" borderId="10" xfId="0" applyNumberFormat="1" applyFont="1" applyBorder="1" applyAlignment="1" applyProtection="1">
      <alignment horizontal="center"/>
    </xf>
    <xf numFmtId="0" fontId="10" fillId="0" borderId="10" xfId="0" applyNumberFormat="1" applyFont="1" applyBorder="1" applyAlignment="1" applyProtection="1">
      <alignment horizontal="center"/>
    </xf>
    <xf numFmtId="0" fontId="17" fillId="5" borderId="3" xfId="0" applyFont="1" applyFill="1" applyBorder="1" applyAlignment="1" applyProtection="1">
      <alignment horizontal="right" vertical="center" wrapText="1"/>
    </xf>
    <xf numFmtId="0" fontId="17" fillId="0" borderId="18" xfId="0" applyFont="1" applyBorder="1" applyAlignment="1" applyProtection="1">
      <alignment horizontal="right" vertical="center" wrapText="1"/>
    </xf>
    <xf numFmtId="0" fontId="17" fillId="3" borderId="6" xfId="0" applyFont="1" applyFill="1" applyBorder="1" applyAlignment="1" applyProtection="1">
      <alignment horizontal="right" vertical="center" wrapText="1"/>
    </xf>
    <xf numFmtId="0" fontId="1" fillId="3" borderId="10" xfId="0" applyFont="1" applyFill="1" applyBorder="1" applyProtection="1">
      <protection locked="0"/>
    </xf>
    <xf numFmtId="0" fontId="10" fillId="0" borderId="0"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10" fillId="0" borderId="19" xfId="0" applyFont="1" applyFill="1" applyBorder="1" applyAlignment="1" applyProtection="1">
      <alignment horizontal="center"/>
    </xf>
    <xf numFmtId="0" fontId="10" fillId="0" borderId="7" xfId="0" applyFont="1" applyFill="1" applyBorder="1" applyAlignment="1" applyProtection="1">
      <alignment horizontal="right"/>
    </xf>
    <xf numFmtId="0" fontId="10" fillId="0" borderId="7" xfId="0" applyFont="1" applyFill="1" applyBorder="1" applyAlignment="1" applyProtection="1">
      <alignment horizontal="center"/>
    </xf>
    <xf numFmtId="0" fontId="10" fillId="0" borderId="8" xfId="0" applyFont="1" applyFill="1" applyBorder="1" applyAlignment="1" applyProtection="1">
      <alignment horizontal="center"/>
    </xf>
    <xf numFmtId="0" fontId="10" fillId="0" borderId="6"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0" borderId="7" xfId="0" applyFont="1" applyFill="1" applyBorder="1" applyAlignment="1" applyProtection="1"/>
    <xf numFmtId="0" fontId="10" fillId="0" borderId="0" xfId="0" applyFont="1" applyAlignment="1" applyProtection="1">
      <alignment horizontal="center" vertical="center"/>
    </xf>
    <xf numFmtId="4" fontId="1" fillId="7" borderId="12" xfId="0" applyNumberFormat="1" applyFont="1" applyFill="1" applyBorder="1" applyAlignment="1" applyProtection="1">
      <alignment horizontal="right"/>
    </xf>
    <xf numFmtId="10" fontId="1" fillId="8" borderId="13" xfId="0" applyNumberFormat="1" applyFont="1" applyFill="1" applyBorder="1" applyAlignment="1" applyProtection="1">
      <alignment horizontal="right"/>
    </xf>
    <xf numFmtId="4" fontId="1" fillId="7" borderId="0" xfId="0" applyNumberFormat="1" applyFont="1" applyFill="1" applyBorder="1" applyAlignment="1" applyProtection="1">
      <alignment horizontal="right"/>
    </xf>
    <xf numFmtId="10" fontId="1" fillId="8" borderId="14" xfId="0" applyNumberFormat="1" applyFont="1" applyFill="1" applyBorder="1" applyAlignment="1" applyProtection="1">
      <alignment horizontal="right"/>
    </xf>
    <xf numFmtId="4" fontId="1" fillId="7" borderId="20" xfId="0" applyNumberFormat="1" applyFont="1" applyFill="1" applyBorder="1" applyAlignment="1" applyProtection="1">
      <alignment horizontal="right"/>
    </xf>
    <xf numFmtId="10" fontId="1" fillId="8" borderId="21" xfId="0" applyNumberFormat="1" applyFont="1" applyFill="1" applyBorder="1" applyAlignment="1" applyProtection="1">
      <alignment horizontal="right"/>
    </xf>
    <xf numFmtId="0" fontId="20" fillId="0" borderId="22" xfId="0" applyFont="1" applyBorder="1" applyAlignment="1" applyProtection="1"/>
    <xf numFmtId="0" fontId="21" fillId="0" borderId="23" xfId="0" applyFont="1" applyBorder="1" applyAlignment="1" applyProtection="1"/>
    <xf numFmtId="0" fontId="1" fillId="3" borderId="10" xfId="0" applyFont="1" applyFill="1" applyBorder="1" applyAlignment="1" applyProtection="1">
      <alignment horizontal="right"/>
    </xf>
    <xf numFmtId="0" fontId="22" fillId="0" borderId="0" xfId="0" applyFont="1" applyAlignment="1" applyProtection="1">
      <alignment horizontal="center" vertical="center"/>
    </xf>
    <xf numFmtId="0" fontId="10" fillId="0" borderId="0" xfId="0" applyFont="1" applyProtection="1"/>
    <xf numFmtId="0" fontId="1" fillId="0" borderId="16" xfId="0" applyFont="1" applyBorder="1" applyAlignment="1" applyProtection="1">
      <alignment horizontal="right"/>
    </xf>
    <xf numFmtId="0" fontId="1" fillId="0" borderId="26" xfId="0" applyFont="1" applyBorder="1" applyAlignment="1" applyProtection="1">
      <alignment horizontal="right"/>
    </xf>
    <xf numFmtId="0" fontId="10" fillId="0" borderId="0" xfId="0" applyFont="1" applyBorder="1" applyAlignment="1" applyProtection="1"/>
    <xf numFmtId="4" fontId="1" fillId="9" borderId="12" xfId="0" applyNumberFormat="1" applyFont="1" applyFill="1" applyBorder="1" applyAlignment="1" applyProtection="1">
      <alignment horizontal="right"/>
    </xf>
    <xf numFmtId="4" fontId="1" fillId="9" borderId="0" xfId="0" applyNumberFormat="1" applyFont="1" applyFill="1" applyBorder="1" applyAlignment="1" applyProtection="1">
      <alignment horizontal="right"/>
    </xf>
    <xf numFmtId="4" fontId="1" fillId="9" borderId="20" xfId="0" applyNumberFormat="1" applyFont="1" applyFill="1" applyBorder="1" applyAlignment="1" applyProtection="1">
      <alignment horizontal="right"/>
    </xf>
    <xf numFmtId="0" fontId="1" fillId="3" borderId="27" xfId="0" applyFont="1" applyFill="1" applyBorder="1" applyProtection="1"/>
    <xf numFmtId="0" fontId="1" fillId="3" borderId="28" xfId="0" applyFont="1" applyFill="1" applyBorder="1" applyProtection="1"/>
    <xf numFmtId="0" fontId="1" fillId="3" borderId="15" xfId="0" applyFont="1" applyFill="1" applyBorder="1" applyAlignment="1" applyProtection="1">
      <alignment horizontal="right"/>
    </xf>
    <xf numFmtId="0" fontId="1" fillId="3" borderId="27" xfId="0" applyFont="1" applyFill="1" applyBorder="1" applyAlignment="1" applyProtection="1">
      <alignment horizontal="right"/>
    </xf>
    <xf numFmtId="0" fontId="1" fillId="3" borderId="28" xfId="0" applyFont="1" applyFill="1" applyBorder="1" applyAlignment="1" applyProtection="1">
      <alignment horizontal="right"/>
    </xf>
    <xf numFmtId="0" fontId="1" fillId="3" borderId="14" xfId="0" applyFont="1" applyFill="1" applyBorder="1" applyAlignment="1" applyProtection="1">
      <alignment horizontal="right"/>
    </xf>
    <xf numFmtId="0" fontId="1" fillId="3" borderId="14" xfId="0" applyFont="1" applyFill="1" applyBorder="1" applyProtection="1"/>
    <xf numFmtId="0" fontId="1" fillId="3" borderId="21" xfId="0" applyFont="1" applyFill="1" applyBorder="1" applyProtection="1"/>
    <xf numFmtId="165" fontId="1" fillId="5" borderId="10" xfId="0" applyNumberFormat="1" applyFont="1" applyFill="1" applyBorder="1" applyAlignment="1" applyProtection="1">
      <alignment horizontal="right"/>
    </xf>
    <xf numFmtId="0" fontId="1" fillId="3" borderId="25" xfId="0" applyNumberFormat="1" applyFont="1" applyFill="1" applyBorder="1" applyAlignment="1" applyProtection="1">
      <alignment horizontal="right"/>
    </xf>
    <xf numFmtId="0" fontId="1" fillId="3" borderId="10" xfId="0" applyFont="1" applyFill="1" applyBorder="1" applyAlignment="1" applyProtection="1">
      <alignment horizontal="right"/>
      <protection locked="0"/>
    </xf>
    <xf numFmtId="0" fontId="1" fillId="0" borderId="24" xfId="0" applyFont="1" applyBorder="1" applyAlignment="1" applyProtection="1">
      <alignment horizontal="left" vertical="center" wrapText="1"/>
    </xf>
    <xf numFmtId="0" fontId="1" fillId="0" borderId="32" xfId="0" applyFont="1" applyBorder="1" applyAlignment="1" applyProtection="1">
      <alignment horizontal="left" vertical="center" wrapText="1"/>
    </xf>
    <xf numFmtId="0" fontId="1" fillId="0" borderId="25"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19" fillId="0" borderId="7" xfId="0" applyFont="1" applyBorder="1" applyAlignment="1" applyProtection="1">
      <alignment horizontal="left" vertical="center" wrapText="1"/>
    </xf>
    <xf numFmtId="0" fontId="3" fillId="0" borderId="2" xfId="0" applyFont="1" applyBorder="1" applyAlignment="1" applyProtection="1">
      <alignment horizontal="center"/>
    </xf>
    <xf numFmtId="0" fontId="20" fillId="0" borderId="2" xfId="0" applyFont="1" applyBorder="1" applyAlignment="1" applyProtection="1">
      <alignment horizontal="right" vertical="top"/>
    </xf>
    <xf numFmtId="0" fontId="20" fillId="0" borderId="33" xfId="0" applyFont="1" applyBorder="1" applyAlignment="1" applyProtection="1">
      <alignment horizontal="right" vertical="top"/>
    </xf>
    <xf numFmtId="0" fontId="10" fillId="0" borderId="0" xfId="0" applyFont="1" applyBorder="1" applyAlignment="1" applyProtection="1">
      <alignment horizontal="right"/>
    </xf>
    <xf numFmtId="0" fontId="16" fillId="0" borderId="18"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43" fontId="1" fillId="0" borderId="29" xfId="0" applyNumberFormat="1" applyFont="1" applyFill="1" applyBorder="1" applyAlignment="1" applyProtection="1">
      <alignment horizontal="center"/>
      <protection locked="0"/>
    </xf>
    <xf numFmtId="43" fontId="1" fillId="0" borderId="30" xfId="0" applyNumberFormat="1" applyFont="1" applyFill="1" applyBorder="1" applyAlignment="1" applyProtection="1">
      <alignment horizontal="center"/>
      <protection locked="0"/>
    </xf>
    <xf numFmtId="0" fontId="4" fillId="0" borderId="0" xfId="0" applyFont="1" applyBorder="1" applyAlignment="1" applyProtection="1">
      <alignment horizontal="center"/>
    </xf>
    <xf numFmtId="10" fontId="4" fillId="0" borderId="10" xfId="3" applyNumberFormat="1" applyFont="1" applyBorder="1" applyAlignment="1" applyProtection="1">
      <alignment horizontal="center"/>
    </xf>
    <xf numFmtId="0" fontId="10" fillId="2" borderId="3"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horizontal="center" vertical="center"/>
    </xf>
    <xf numFmtId="44" fontId="4" fillId="0" borderId="29" xfId="1" applyFont="1" applyFill="1" applyBorder="1" applyAlignment="1" applyProtection="1">
      <alignment horizontal="center"/>
      <protection locked="0"/>
    </xf>
    <xf numFmtId="44" fontId="4" fillId="0" borderId="30" xfId="1" applyFont="1" applyFill="1" applyBorder="1" applyAlignment="1" applyProtection="1">
      <alignment horizontal="center"/>
      <protection locked="0"/>
    </xf>
    <xf numFmtId="0" fontId="4" fillId="0" borderId="10" xfId="0" applyFont="1" applyBorder="1" applyAlignment="1" applyProtection="1">
      <alignment horizontal="center"/>
    </xf>
    <xf numFmtId="44" fontId="4" fillId="3" borderId="29" xfId="1" applyFont="1" applyFill="1" applyBorder="1" applyAlignment="1" applyProtection="1">
      <alignment horizontal="center"/>
    </xf>
    <xf numFmtId="44" fontId="4" fillId="3" borderId="30" xfId="1" applyFont="1" applyFill="1" applyBorder="1" applyAlignment="1" applyProtection="1">
      <alignment horizontal="center"/>
    </xf>
    <xf numFmtId="44" fontId="4" fillId="0" borderId="10" xfId="1" applyFont="1" applyBorder="1" applyAlignment="1" applyProtection="1">
      <alignment horizontal="center"/>
    </xf>
    <xf numFmtId="0" fontId="1" fillId="0" borderId="10" xfId="0" applyFont="1" applyBorder="1" applyAlignment="1" applyProtection="1">
      <alignment horizontal="center"/>
    </xf>
    <xf numFmtId="0" fontId="10" fillId="0" borderId="10" xfId="0" applyFont="1" applyBorder="1" applyAlignment="1" applyProtection="1">
      <alignment horizontal="center" vertical="center" wrapText="1"/>
    </xf>
    <xf numFmtId="0" fontId="10" fillId="0" borderId="10" xfId="0" applyFont="1" applyBorder="1" applyAlignment="1" applyProtection="1">
      <alignment horizontal="center" vertical="center"/>
    </xf>
    <xf numFmtId="43" fontId="1" fillId="0" borderId="7" xfId="0" applyNumberFormat="1" applyFont="1" applyFill="1" applyBorder="1" applyAlignment="1" applyProtection="1">
      <alignment horizontal="center"/>
      <protection locked="0"/>
    </xf>
    <xf numFmtId="43" fontId="1" fillId="0" borderId="8" xfId="0" applyNumberFormat="1" applyFont="1" applyFill="1" applyBorder="1" applyAlignment="1" applyProtection="1">
      <alignment horizontal="center"/>
      <protection locked="0"/>
    </xf>
    <xf numFmtId="44" fontId="4" fillId="0" borderId="29" xfId="1" applyFont="1" applyFill="1" applyBorder="1" applyAlignment="1" applyProtection="1">
      <alignment horizontal="center" vertical="center"/>
      <protection locked="0"/>
    </xf>
    <xf numFmtId="44" fontId="4" fillId="0" borderId="30" xfId="1" applyFont="1" applyFill="1" applyBorder="1" applyAlignment="1" applyProtection="1">
      <alignment horizontal="center" vertical="center"/>
      <protection locked="0"/>
    </xf>
    <xf numFmtId="0" fontId="1" fillId="0" borderId="0" xfId="0" applyFont="1" applyFill="1" applyBorder="1" applyAlignment="1" applyProtection="1">
      <alignment horizontal="right"/>
    </xf>
    <xf numFmtId="0" fontId="8" fillId="0" borderId="0" xfId="0" applyFont="1" applyBorder="1" applyAlignment="1" applyProtection="1">
      <alignment horizontal="right" vertical="center"/>
    </xf>
    <xf numFmtId="0" fontId="7" fillId="0" borderId="0" xfId="0" applyFont="1" applyBorder="1" applyAlignment="1" applyProtection="1">
      <alignment horizontal="right" vertical="center"/>
    </xf>
    <xf numFmtId="0" fontId="4" fillId="0" borderId="10" xfId="3" applyNumberFormat="1" applyFont="1" applyFill="1" applyBorder="1" applyAlignment="1" applyProtection="1">
      <alignment horizontal="center" vertical="center"/>
    </xf>
    <xf numFmtId="44" fontId="1" fillId="0" borderId="10" xfId="1" applyFont="1" applyBorder="1" applyAlignment="1" applyProtection="1">
      <alignment horizontal="center"/>
    </xf>
    <xf numFmtId="0" fontId="1" fillId="0" borderId="10" xfId="0" applyFont="1" applyFill="1" applyBorder="1" applyAlignment="1" applyProtection="1">
      <alignment horizontal="center" wrapText="1"/>
    </xf>
    <xf numFmtId="0" fontId="1" fillId="0" borderId="0" xfId="0" applyFont="1" applyBorder="1" applyAlignment="1" applyProtection="1">
      <alignment horizontal="center"/>
    </xf>
    <xf numFmtId="49" fontId="1" fillId="0" borderId="10" xfId="0" applyNumberFormat="1" applyFont="1" applyBorder="1" applyAlignment="1" applyProtection="1">
      <alignment horizontal="center"/>
    </xf>
    <xf numFmtId="3" fontId="1" fillId="0" borderId="10" xfId="0" applyNumberFormat="1" applyFont="1" applyBorder="1" applyAlignment="1" applyProtection="1">
      <alignment horizontal="center"/>
    </xf>
    <xf numFmtId="0" fontId="1" fillId="0" borderId="0" xfId="0" applyFont="1" applyBorder="1" applyAlignment="1" applyProtection="1">
      <alignment horizontal="right"/>
    </xf>
    <xf numFmtId="0" fontId="19" fillId="0" borderId="0" xfId="0" applyFont="1" applyBorder="1" applyAlignment="1" applyProtection="1">
      <alignment horizontal="center"/>
    </xf>
    <xf numFmtId="44" fontId="1" fillId="0" borderId="0" xfId="0" applyNumberFormat="1" applyFont="1" applyBorder="1" applyAlignment="1" applyProtection="1">
      <alignment horizontal="right"/>
    </xf>
    <xf numFmtId="44" fontId="5" fillId="2" borderId="17" xfId="1" applyFont="1" applyFill="1" applyBorder="1" applyAlignment="1" applyProtection="1">
      <alignment horizontal="center"/>
    </xf>
    <xf numFmtId="44" fontId="5" fillId="2" borderId="30" xfId="1" applyFont="1" applyFill="1" applyBorder="1" applyAlignment="1" applyProtection="1">
      <alignment horizontal="center"/>
    </xf>
    <xf numFmtId="0" fontId="1" fillId="10" borderId="17" xfId="0" applyFont="1" applyFill="1" applyBorder="1" applyAlignment="1" applyProtection="1">
      <alignment horizontal="center"/>
    </xf>
    <xf numFmtId="0" fontId="1" fillId="10" borderId="29" xfId="0" applyFont="1" applyFill="1" applyBorder="1" applyAlignment="1" applyProtection="1">
      <alignment horizontal="center"/>
    </xf>
    <xf numFmtId="0" fontId="5" fillId="0" borderId="0" xfId="0" applyFont="1" applyBorder="1" applyAlignment="1" applyProtection="1">
      <alignment horizontal="right"/>
    </xf>
    <xf numFmtId="0" fontId="23" fillId="0" borderId="31" xfId="0" applyFont="1" applyBorder="1" applyAlignment="1" applyProtection="1">
      <alignment horizontal="left"/>
    </xf>
    <xf numFmtId="44" fontId="1" fillId="10" borderId="6" xfId="0" applyNumberFormat="1" applyFont="1" applyFill="1" applyBorder="1" applyAlignment="1" applyProtection="1">
      <alignment horizontal="right"/>
    </xf>
    <xf numFmtId="44" fontId="1" fillId="10" borderId="8" xfId="0" applyNumberFormat="1" applyFont="1" applyFill="1" applyBorder="1" applyAlignment="1" applyProtection="1">
      <alignment horizontal="right"/>
    </xf>
    <xf numFmtId="0" fontId="1" fillId="11" borderId="17" xfId="0" applyNumberFormat="1" applyFont="1" applyFill="1" applyBorder="1" applyAlignment="1" applyProtection="1">
      <alignment horizontal="right"/>
    </xf>
    <xf numFmtId="0" fontId="1" fillId="11" borderId="30" xfId="0" applyNumberFormat="1" applyFont="1" applyFill="1" applyBorder="1" applyAlignment="1" applyProtection="1">
      <alignment horizontal="right"/>
    </xf>
    <xf numFmtId="0" fontId="1" fillId="10" borderId="17" xfId="0" applyNumberFormat="1" applyFont="1" applyFill="1" applyBorder="1" applyAlignment="1" applyProtection="1">
      <alignment horizontal="right"/>
    </xf>
    <xf numFmtId="0" fontId="1" fillId="10" borderId="30" xfId="0" applyNumberFormat="1" applyFont="1" applyFill="1" applyBorder="1" applyAlignment="1" applyProtection="1">
      <alignment horizontal="right"/>
    </xf>
    <xf numFmtId="0" fontId="1" fillId="11" borderId="17" xfId="0" applyFont="1" applyFill="1" applyBorder="1" applyAlignment="1" applyProtection="1">
      <alignment horizontal="center"/>
    </xf>
    <xf numFmtId="0" fontId="1" fillId="11" borderId="29" xfId="0" applyFont="1" applyFill="1" applyBorder="1" applyAlignment="1" applyProtection="1">
      <alignment horizontal="center"/>
    </xf>
    <xf numFmtId="0" fontId="1" fillId="0" borderId="29" xfId="0" applyFont="1" applyBorder="1" applyAlignment="1" applyProtection="1">
      <alignment horizontal="right"/>
    </xf>
    <xf numFmtId="0" fontId="1" fillId="3" borderId="17" xfId="0" applyFont="1" applyFill="1" applyBorder="1" applyAlignment="1" applyProtection="1">
      <alignment horizontal="center"/>
    </xf>
    <xf numFmtId="0" fontId="1" fillId="3" borderId="29" xfId="0" applyFont="1" applyFill="1" applyBorder="1" applyAlignment="1" applyProtection="1">
      <alignment horizontal="center"/>
    </xf>
    <xf numFmtId="44" fontId="1" fillId="11" borderId="6" xfId="0" applyNumberFormat="1" applyFont="1" applyFill="1" applyBorder="1" applyAlignment="1" applyProtection="1">
      <alignment horizontal="right"/>
    </xf>
    <xf numFmtId="44" fontId="1" fillId="11" borderId="8" xfId="0" applyNumberFormat="1" applyFont="1" applyFill="1" applyBorder="1" applyAlignment="1" applyProtection="1">
      <alignment horizontal="right"/>
    </xf>
    <xf numFmtId="44" fontId="1" fillId="11" borderId="17" xfId="0" applyNumberFormat="1" applyFont="1" applyFill="1" applyBorder="1" applyAlignment="1" applyProtection="1">
      <alignment horizontal="right"/>
    </xf>
    <xf numFmtId="44" fontId="1" fillId="10" borderId="17" xfId="0" applyNumberFormat="1" applyFont="1" applyFill="1" applyBorder="1" applyAlignment="1" applyProtection="1">
      <alignment horizontal="right"/>
    </xf>
    <xf numFmtId="44" fontId="1" fillId="12" borderId="17" xfId="0" applyNumberFormat="1" applyFont="1" applyFill="1" applyBorder="1" applyAlignment="1" applyProtection="1">
      <alignment horizontal="right"/>
    </xf>
    <xf numFmtId="0" fontId="1" fillId="12" borderId="30" xfId="0" applyNumberFormat="1" applyFont="1" applyFill="1" applyBorder="1" applyAlignment="1" applyProtection="1">
      <alignment horizontal="right"/>
    </xf>
    <xf numFmtId="0" fontId="1" fillId="0" borderId="7" xfId="0" applyFont="1" applyBorder="1" applyAlignment="1" applyProtection="1">
      <alignment horizontal="right"/>
    </xf>
    <xf numFmtId="0" fontId="1" fillId="0" borderId="17" xfId="0" applyNumberFormat="1" applyFont="1" applyFill="1" applyBorder="1" applyAlignment="1" applyProtection="1">
      <alignment horizontal="right"/>
    </xf>
    <xf numFmtId="0" fontId="1" fillId="0" borderId="30" xfId="0" applyNumberFormat="1" applyFont="1" applyFill="1" applyBorder="1" applyAlignment="1" applyProtection="1">
      <alignment horizontal="right"/>
    </xf>
    <xf numFmtId="0" fontId="14" fillId="0" borderId="0" xfId="0" applyFont="1" applyBorder="1" applyAlignment="1" applyProtection="1">
      <alignment horizontal="left" vertical="center" wrapText="1"/>
    </xf>
    <xf numFmtId="0" fontId="10" fillId="0" borderId="7" xfId="0" applyFont="1" applyBorder="1" applyAlignment="1" applyProtection="1">
      <alignment horizontal="left" vertical="center" wrapText="1"/>
    </xf>
    <xf numFmtId="0" fontId="10" fillId="0" borderId="8"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19" xfId="0" applyFont="1" applyBorder="1" applyAlignment="1" applyProtection="1">
      <alignment horizontal="left" vertical="center" wrapText="1"/>
    </xf>
    <xf numFmtId="0" fontId="10" fillId="0" borderId="4"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4" fillId="0" borderId="29" xfId="0" applyFont="1" applyFill="1" applyBorder="1" applyAlignment="1" applyProtection="1">
      <alignment horizontal="center"/>
      <protection locked="0"/>
    </xf>
    <xf numFmtId="0" fontId="4" fillId="0" borderId="30" xfId="0" applyFont="1" applyFill="1" applyBorder="1" applyAlignment="1" applyProtection="1">
      <alignment horizontal="center"/>
      <protection locked="0"/>
    </xf>
    <xf numFmtId="0" fontId="1" fillId="5" borderId="29" xfId="0" applyFont="1" applyFill="1" applyBorder="1" applyAlignment="1" applyProtection="1">
      <alignment horizontal="center"/>
      <protection locked="0"/>
    </xf>
    <xf numFmtId="0" fontId="1" fillId="5" borderId="30" xfId="0" applyFont="1" applyFill="1" applyBorder="1" applyAlignment="1" applyProtection="1">
      <alignment horizontal="center"/>
      <protection locked="0"/>
    </xf>
    <xf numFmtId="0" fontId="1" fillId="5" borderId="7" xfId="0" applyFont="1" applyFill="1" applyBorder="1" applyAlignment="1" applyProtection="1">
      <alignment horizontal="center"/>
      <protection locked="0"/>
    </xf>
    <xf numFmtId="0" fontId="1" fillId="5" borderId="8" xfId="0" applyFont="1" applyFill="1" applyBorder="1" applyAlignment="1" applyProtection="1">
      <alignment horizontal="center"/>
      <protection locked="0"/>
    </xf>
    <xf numFmtId="0" fontId="1" fillId="5" borderId="17" xfId="0" applyFont="1" applyFill="1" applyBorder="1" applyAlignment="1" applyProtection="1">
      <alignment horizontal="center"/>
      <protection locked="0"/>
    </xf>
    <xf numFmtId="0" fontId="9" fillId="0" borderId="0" xfId="0" applyFont="1" applyFill="1" applyBorder="1" applyAlignment="1" applyProtection="1">
      <alignment horizontal="center" vertical="center"/>
    </xf>
    <xf numFmtId="0" fontId="10" fillId="2" borderId="17" xfId="0" applyFont="1" applyFill="1" applyBorder="1" applyAlignment="1" applyProtection="1">
      <alignment horizontal="center" vertical="center"/>
    </xf>
    <xf numFmtId="0" fontId="10" fillId="2" borderId="29" xfId="0" applyFont="1" applyFill="1" applyBorder="1" applyAlignment="1" applyProtection="1">
      <alignment horizontal="center" vertical="center"/>
    </xf>
    <xf numFmtId="0" fontId="10" fillId="2" borderId="30" xfId="0" applyFont="1" applyFill="1" applyBorder="1" applyAlignment="1" applyProtection="1">
      <alignment horizontal="center" vertical="center"/>
    </xf>
    <xf numFmtId="44" fontId="5" fillId="0" borderId="29" xfId="1" applyFont="1" applyFill="1" applyBorder="1" applyAlignment="1" applyProtection="1">
      <alignment horizontal="center"/>
      <protection locked="0"/>
    </xf>
    <xf numFmtId="44" fontId="5" fillId="0" borderId="30" xfId="1" applyFont="1" applyFill="1" applyBorder="1" applyAlignment="1" applyProtection="1">
      <alignment horizontal="center"/>
      <protection locked="0"/>
    </xf>
    <xf numFmtId="166" fontId="3" fillId="5" borderId="29" xfId="0" applyNumberFormat="1" applyFont="1" applyFill="1" applyBorder="1" applyAlignment="1" applyProtection="1">
      <alignment horizontal="center" vertical="center"/>
      <protection locked="0"/>
    </xf>
    <xf numFmtId="0" fontId="3" fillId="5" borderId="7" xfId="0" applyFont="1" applyFill="1" applyBorder="1" applyAlignment="1" applyProtection="1">
      <alignment horizontal="center" vertical="center"/>
      <protection locked="0"/>
    </xf>
    <xf numFmtId="0" fontId="16" fillId="0" borderId="18" xfId="0" applyFont="1" applyBorder="1" applyAlignment="1" applyProtection="1">
      <alignment horizontal="center" vertical="center"/>
    </xf>
    <xf numFmtId="0" fontId="16" fillId="0" borderId="0" xfId="0" applyFont="1" applyBorder="1" applyAlignment="1" applyProtection="1">
      <alignment horizontal="center" vertical="center"/>
    </xf>
    <xf numFmtId="0" fontId="10" fillId="0" borderId="0" xfId="0" applyFont="1" applyFill="1" applyBorder="1" applyAlignment="1" applyProtection="1">
      <alignment horizontal="right"/>
    </xf>
    <xf numFmtId="0" fontId="1" fillId="6" borderId="17" xfId="0" applyFont="1" applyFill="1" applyBorder="1" applyAlignment="1" applyProtection="1">
      <alignment horizontal="right"/>
    </xf>
    <xf numFmtId="0" fontId="1" fillId="6" borderId="29" xfId="0" applyFont="1" applyFill="1" applyBorder="1" applyAlignment="1" applyProtection="1">
      <alignment horizontal="right"/>
    </xf>
    <xf numFmtId="0" fontId="1" fillId="6" borderId="30" xfId="0" applyFont="1" applyFill="1" applyBorder="1" applyAlignment="1" applyProtection="1">
      <alignment horizontal="right"/>
    </xf>
    <xf numFmtId="0" fontId="1" fillId="0" borderId="17" xfId="0" applyFont="1" applyBorder="1" applyAlignment="1" applyProtection="1">
      <alignment horizontal="center"/>
    </xf>
    <xf numFmtId="0" fontId="1" fillId="0" borderId="29" xfId="0" applyFont="1" applyBorder="1" applyAlignment="1" applyProtection="1">
      <alignment horizontal="center"/>
    </xf>
    <xf numFmtId="0" fontId="1" fillId="0" borderId="30" xfId="0" applyFont="1" applyBorder="1" applyAlignment="1" applyProtection="1">
      <alignment horizontal="center"/>
    </xf>
    <xf numFmtId="44" fontId="1" fillId="6" borderId="17" xfId="0" applyNumberFormat="1" applyFont="1" applyFill="1" applyBorder="1" applyAlignment="1" applyProtection="1">
      <alignment horizontal="center"/>
    </xf>
    <xf numFmtId="0" fontId="1" fillId="6" borderId="30" xfId="0" applyNumberFormat="1" applyFont="1" applyFill="1" applyBorder="1" applyAlignment="1" applyProtection="1">
      <alignment horizontal="center"/>
    </xf>
    <xf numFmtId="44" fontId="1" fillId="0" borderId="17" xfId="0" applyNumberFormat="1" applyFont="1" applyFill="1" applyBorder="1" applyAlignment="1" applyProtection="1">
      <alignment horizontal="right"/>
    </xf>
    <xf numFmtId="44" fontId="1" fillId="10" borderId="30" xfId="0" applyNumberFormat="1" applyFont="1" applyFill="1" applyBorder="1" applyAlignment="1" applyProtection="1">
      <alignment horizontal="right"/>
    </xf>
    <xf numFmtId="3" fontId="1" fillId="11" borderId="17" xfId="0" applyNumberFormat="1" applyFont="1" applyFill="1" applyBorder="1" applyAlignment="1" applyProtection="1">
      <alignment horizontal="right"/>
    </xf>
    <xf numFmtId="0" fontId="10" fillId="3" borderId="26" xfId="0" applyFont="1" applyFill="1" applyBorder="1" applyAlignment="1" applyProtection="1">
      <alignment horizontal="center" wrapText="1"/>
    </xf>
    <xf numFmtId="0" fontId="10" fillId="3" borderId="12" xfId="0" applyFont="1" applyFill="1" applyBorder="1" applyAlignment="1" applyProtection="1">
      <alignment horizontal="center" wrapText="1"/>
    </xf>
    <xf numFmtId="0" fontId="10" fillId="3" borderId="13" xfId="0" applyFont="1" applyFill="1" applyBorder="1" applyAlignment="1" applyProtection="1">
      <alignment horizontal="center" wrapText="1"/>
    </xf>
    <xf numFmtId="0" fontId="10" fillId="3" borderId="15"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10" fillId="3" borderId="14" xfId="0" applyFont="1" applyFill="1" applyBorder="1" applyAlignment="1" applyProtection="1">
      <alignment horizontal="center" wrapText="1"/>
    </xf>
    <xf numFmtId="0" fontId="10" fillId="3" borderId="26" xfId="0" applyFont="1" applyFill="1" applyBorder="1" applyAlignment="1" applyProtection="1">
      <alignment horizontal="center"/>
    </xf>
    <xf numFmtId="0" fontId="10" fillId="3" borderId="12" xfId="0" applyFont="1" applyFill="1" applyBorder="1" applyAlignment="1" applyProtection="1">
      <alignment horizontal="center"/>
    </xf>
    <xf numFmtId="0" fontId="10" fillId="3" borderId="13" xfId="0" applyFont="1" applyFill="1" applyBorder="1" applyAlignment="1" applyProtection="1">
      <alignment horizontal="center"/>
    </xf>
    <xf numFmtId="0" fontId="10" fillId="3" borderId="15" xfId="0" applyFont="1" applyFill="1" applyBorder="1" applyAlignment="1" applyProtection="1">
      <alignment horizontal="center"/>
    </xf>
    <xf numFmtId="0" fontId="10" fillId="3" borderId="0" xfId="0" applyFont="1" applyFill="1" applyBorder="1" applyAlignment="1" applyProtection="1">
      <alignment horizontal="center"/>
    </xf>
    <xf numFmtId="0" fontId="10" fillId="3" borderId="14" xfId="0" applyFont="1" applyFill="1" applyBorder="1" applyAlignment="1" applyProtection="1">
      <alignment horizontal="center"/>
    </xf>
    <xf numFmtId="0" fontId="11" fillId="0" borderId="26" xfId="0" applyFont="1" applyBorder="1" applyAlignment="1" applyProtection="1">
      <alignment horizontal="right"/>
    </xf>
    <xf numFmtId="0" fontId="11" fillId="0" borderId="12" xfId="0" applyFont="1" applyBorder="1" applyAlignment="1" applyProtection="1">
      <alignment horizontal="right"/>
    </xf>
    <xf numFmtId="0" fontId="1" fillId="0" borderId="16" xfId="0" applyFont="1" applyBorder="1" applyAlignment="1" applyProtection="1">
      <alignment horizontal="right"/>
    </xf>
    <xf numFmtId="0" fontId="1" fillId="0" borderId="20" xfId="0" applyFont="1" applyBorder="1" applyAlignment="1" applyProtection="1">
      <alignment horizontal="right"/>
    </xf>
    <xf numFmtId="0" fontId="17" fillId="0" borderId="12" xfId="0" applyFont="1" applyBorder="1" applyAlignment="1" applyProtection="1">
      <alignment horizontal="center"/>
    </xf>
    <xf numFmtId="0" fontId="10" fillId="0" borderId="20" xfId="0" applyFont="1" applyBorder="1" applyAlignment="1" applyProtection="1">
      <alignment horizontal="center"/>
    </xf>
    <xf numFmtId="0" fontId="10" fillId="0" borderId="21" xfId="0" applyFont="1" applyBorder="1" applyAlignment="1" applyProtection="1">
      <alignment horizontal="center"/>
    </xf>
  </cellXfs>
  <cellStyles count="4">
    <cellStyle name="Currency" xfId="1" builtinId="4"/>
    <cellStyle name="Normal" xfId="0" builtinId="0"/>
    <cellStyle name="Normal_netpay-5" xfId="2" xr:uid="{00000000-0005-0000-0000-000002000000}"/>
    <cellStyle name="Percent" xfId="3" builtinId="5"/>
  </cellStyles>
  <dxfs count="17">
    <dxf>
      <font>
        <color theme="0"/>
      </font>
    </dxf>
    <dxf>
      <font>
        <color theme="0"/>
      </font>
    </dxf>
    <dxf>
      <font>
        <color theme="0"/>
      </font>
      <fill>
        <patternFill patternType="none">
          <bgColor indexed="65"/>
        </patternFill>
      </fill>
      <border>
        <left/>
        <right/>
        <top/>
        <bottom/>
      </border>
    </dxf>
    <dxf>
      <font>
        <color theme="0"/>
      </font>
    </dxf>
    <dxf>
      <font>
        <color theme="0"/>
      </font>
    </dxf>
    <dxf>
      <font>
        <color theme="0"/>
      </font>
    </dxf>
    <dxf>
      <font>
        <color theme="0"/>
      </font>
    </dxf>
    <dxf>
      <font>
        <color theme="0"/>
      </font>
    </dxf>
    <dxf>
      <font>
        <color theme="0"/>
      </font>
    </dxf>
    <dxf>
      <font>
        <b/>
        <i val="0"/>
        <color theme="0"/>
      </font>
      <fill>
        <patternFill>
          <bgColor rgb="FFFF0000"/>
        </patternFill>
      </fill>
    </dxf>
    <dxf>
      <fill>
        <patternFill>
          <bgColor theme="0"/>
        </patternFill>
      </fill>
    </dxf>
    <dxf>
      <font>
        <b/>
        <i val="0"/>
        <color theme="0" tint="-4.9989318521683403E-2"/>
      </font>
      <fill>
        <patternFill>
          <bgColor rgb="FFFF0000"/>
        </patternFill>
      </fill>
    </dxf>
    <dxf>
      <font>
        <b/>
        <i val="0"/>
        <color rgb="FFFF0000"/>
      </font>
      <fill>
        <patternFill>
          <bgColor rgb="FFFFFF00"/>
        </patternFill>
      </fill>
      <border>
        <right style="thin">
          <color indexed="64"/>
        </right>
        <top style="thin">
          <color indexed="64"/>
        </top>
        <bottom style="thin">
          <color indexed="64"/>
        </bottom>
      </border>
    </dxf>
    <dxf>
      <font>
        <b/>
        <i val="0"/>
        <color rgb="FFFF0000"/>
      </font>
      <fill>
        <patternFill>
          <bgColor rgb="FFFFFF00"/>
        </patternFill>
      </fill>
      <border>
        <right style="thin">
          <color indexed="64"/>
        </right>
        <top style="thin">
          <color indexed="64"/>
        </top>
        <bottom style="thin">
          <color indexed="64"/>
        </bottom>
      </border>
    </dxf>
    <dxf>
      <font>
        <b/>
        <i val="0"/>
        <color rgb="FFFF0000"/>
      </font>
      <fill>
        <patternFill>
          <bgColor rgb="FFFFFF00"/>
        </patternFill>
      </fill>
      <border>
        <right style="thin">
          <color indexed="64"/>
        </right>
        <top style="thin">
          <color indexed="64"/>
        </top>
        <bottom style="thin">
          <color indexed="64"/>
        </bottom>
      </border>
    </dxf>
    <dxf>
      <font>
        <color theme="0"/>
      </font>
      <numFmt numFmtId="165" formatCode="&quot;$&quot;#,##0.00"/>
      <fill>
        <patternFill>
          <bgColor theme="0"/>
        </patternFill>
      </fill>
      <border>
        <bottom/>
      </border>
    </dxf>
    <dxf>
      <fill>
        <patternFill>
          <bgColor rgb="FFFFFF00"/>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fmlaLink="$P$23" lockText="1" noThreeD="1"/>
</file>

<file path=xl/ctrlProps/ctrlProp2.xml><?xml version="1.0" encoding="utf-8"?>
<formControlPr xmlns="http://schemas.microsoft.com/office/spreadsheetml/2009/9/main" objectType="CheckBox" fmlaLink="$P$24" lockText="1" noThreeD="1"/>
</file>

<file path=xl/ctrlProps/ctrlProp3.xml><?xml version="1.0" encoding="utf-8"?>
<formControlPr xmlns="http://schemas.microsoft.com/office/spreadsheetml/2009/9/main" objectType="CheckBox" fmlaLink="$P$42" lockText="1" noThreeD="1"/>
</file>

<file path=xl/drawings/drawing1.xml><?xml version="1.0" encoding="utf-8"?>
<xdr:wsDr xmlns:xdr="http://schemas.openxmlformats.org/drawingml/2006/spreadsheetDrawing" xmlns:a="http://schemas.openxmlformats.org/drawingml/2006/main">
  <xdr:twoCellAnchor>
    <xdr:from>
      <xdr:col>0</xdr:col>
      <xdr:colOff>251460</xdr:colOff>
      <xdr:row>0</xdr:row>
      <xdr:rowOff>163830</xdr:rowOff>
    </xdr:from>
    <xdr:to>
      <xdr:col>8</xdr:col>
      <xdr:colOff>295276</xdr:colOff>
      <xdr:row>54</xdr:row>
      <xdr:rowOff>57150</xdr:rowOff>
    </xdr:to>
    <xdr:sp macro="" textlink="">
      <xdr:nvSpPr>
        <xdr:cNvPr id="4097" name="Text Box 1">
          <a:extLst>
            <a:ext uri="{FF2B5EF4-FFF2-40B4-BE49-F238E27FC236}">
              <a16:creationId xmlns:a16="http://schemas.microsoft.com/office/drawing/2014/main" id="{00000000-0008-0000-0000-000001100000}"/>
            </a:ext>
          </a:extLst>
        </xdr:cNvPr>
        <xdr:cNvSpPr txBox="1">
          <a:spLocks noChangeArrowheads="1"/>
        </xdr:cNvSpPr>
      </xdr:nvSpPr>
      <xdr:spPr bwMode="auto">
        <a:xfrm>
          <a:off x="257175" y="171450"/>
          <a:ext cx="6124575" cy="101727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en-US" sz="1400" b="0" i="0" u="none" strike="noStrike" baseline="0">
              <a:solidFill>
                <a:srgbClr val="000000"/>
              </a:solidFill>
              <a:latin typeface="Times New Roman"/>
              <a:cs typeface="Times New Roman"/>
            </a:rPr>
            <a:t>INSTRUCTIONS FOR USING THE NETPAY ESTIMATOR</a:t>
          </a:r>
        </a:p>
        <a:p>
          <a:pPr algn="l" rtl="0">
            <a:defRPr sz="1000"/>
          </a:pPr>
          <a:r>
            <a:rPr lang="en-US" sz="1400" b="0" i="0" u="none" strike="noStrike" baseline="0">
              <a:solidFill>
                <a:srgbClr val="000000"/>
              </a:solidFill>
              <a:latin typeface="Times New Roman"/>
              <a:cs typeface="Times New Roman"/>
            </a:rPr>
            <a:t> </a:t>
          </a:r>
        </a:p>
        <a:p>
          <a:pPr algn="l" rtl="0">
            <a:defRPr sz="1000"/>
          </a:pPr>
          <a:r>
            <a:rPr lang="en-US" sz="1400" b="0" i="0" u="none" strike="noStrike" baseline="0">
              <a:solidFill>
                <a:srgbClr val="000000"/>
              </a:solidFill>
              <a:latin typeface="Times New Roman"/>
              <a:cs typeface="Times New Roman"/>
            </a:rPr>
            <a:t>This worksheet requires a detailed understanding of the State of Alaska payroll system.  Even small errors in the entered data will cause the results to be incorrect.</a:t>
          </a:r>
        </a:p>
        <a:p>
          <a:pPr algn="l" rtl="0">
            <a:defRPr sz="1000"/>
          </a:pPr>
          <a:endParaRPr lang="en-US" sz="1400" b="0" i="0" u="none" strike="noStrike" baseline="0">
            <a:solidFill>
              <a:srgbClr val="000000"/>
            </a:solidFill>
            <a:latin typeface="Times New Roman"/>
            <a:cs typeface="Times New Roman"/>
          </a:endParaRPr>
        </a:p>
        <a:p>
          <a:pPr algn="l" rtl="0">
            <a:defRPr sz="1000"/>
          </a:pPr>
          <a:r>
            <a:rPr lang="en-US" sz="1400" b="0" i="0" u="none" strike="noStrike" baseline="0">
              <a:solidFill>
                <a:srgbClr val="000000"/>
              </a:solidFill>
              <a:latin typeface="Times New Roman"/>
              <a:cs typeface="Times New Roman"/>
            </a:rPr>
            <a:t>All deductions and taxes are entered as </a:t>
          </a:r>
          <a:r>
            <a:rPr lang="en-US" sz="1400" b="1" i="0" u="none" strike="noStrike" baseline="0">
              <a:solidFill>
                <a:srgbClr val="FF0000"/>
              </a:solidFill>
              <a:latin typeface="Times New Roman"/>
              <a:cs typeface="Times New Roman"/>
            </a:rPr>
            <a:t>positive</a:t>
          </a:r>
          <a:r>
            <a:rPr lang="en-US" sz="1400" b="0" i="0" u="none" strike="noStrike" baseline="0">
              <a:solidFill>
                <a:srgbClr val="000000"/>
              </a:solidFill>
              <a:latin typeface="Times New Roman"/>
              <a:cs typeface="Times New Roman"/>
            </a:rPr>
            <a:t> amounts. </a:t>
          </a:r>
          <a:r>
            <a:rPr lang="en-US" sz="1400" b="1" i="0" u="none" strike="noStrike" baseline="0">
              <a:solidFill>
                <a:schemeClr val="bg1">
                  <a:lumMod val="50000"/>
                </a:schemeClr>
              </a:solidFill>
              <a:latin typeface="Times New Roman"/>
              <a:cs typeface="Times New Roman"/>
            </a:rPr>
            <a:t>GRAY</a:t>
          </a:r>
          <a:r>
            <a:rPr lang="en-US" sz="1400" b="0" i="0" u="none" strike="noStrike" baseline="0">
              <a:solidFill>
                <a:srgbClr val="000000"/>
              </a:solidFill>
              <a:latin typeface="Times New Roman"/>
              <a:cs typeface="Times New Roman"/>
            </a:rPr>
            <a:t> Shaded fields are automatically calculated and cannot be changed. Making changes to these fields could cause incorrect calculations.</a:t>
          </a:r>
        </a:p>
        <a:p>
          <a:pPr algn="l" rtl="0">
            <a:defRPr sz="1000"/>
          </a:pPr>
          <a:r>
            <a:rPr lang="en-US" sz="1600" b="0" i="0" u="none" strike="noStrike" baseline="0">
              <a:solidFill>
                <a:srgbClr val="000000"/>
              </a:solidFill>
              <a:latin typeface="Times New Roman"/>
              <a:cs typeface="Times New Roman"/>
            </a:rPr>
            <a:t> </a:t>
          </a:r>
        </a:p>
        <a:p>
          <a:pPr algn="l" rtl="0">
            <a:defRPr sz="1000"/>
          </a:pPr>
          <a:r>
            <a:rPr lang="en-US" sz="1600" b="0" i="0" u="none" strike="noStrike" baseline="0">
              <a:solidFill>
                <a:srgbClr val="000000"/>
              </a:solidFill>
              <a:latin typeface="Times New Roman"/>
              <a:cs typeface="Times New Roman"/>
            </a:rPr>
            <a:t>1. </a:t>
          </a:r>
          <a:r>
            <a:rPr lang="en-US" sz="1200" b="0" i="0" u="none" strike="noStrike" baseline="0">
              <a:solidFill>
                <a:srgbClr val="000000"/>
              </a:solidFill>
              <a:latin typeface="Times New Roman"/>
              <a:cs typeface="Times New Roman"/>
            </a:rPr>
            <a:t>Enter the employee’s name and six digit Employee Identification Number.</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600" b="0" i="0" u="none" strike="noStrike" baseline="0">
              <a:solidFill>
                <a:srgbClr val="000000"/>
              </a:solidFill>
              <a:latin typeface="Times New Roman"/>
              <a:cs typeface="Times New Roman"/>
            </a:rPr>
            <a:t>2. </a:t>
          </a:r>
          <a:r>
            <a:rPr lang="en-US" sz="1200" b="0" i="0" u="none" strike="noStrike" baseline="0">
              <a:solidFill>
                <a:srgbClr val="000000"/>
              </a:solidFill>
              <a:latin typeface="Times New Roman"/>
              <a:cs typeface="Times New Roman"/>
            </a:rPr>
            <a:t>Indicate the correct type of retirement program the employee participates in and whether they are Medicare and SBS eligible.</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600" b="0" i="0" u="none" strike="noStrike" baseline="0">
              <a:solidFill>
                <a:srgbClr val="000000"/>
              </a:solidFill>
              <a:latin typeface="Times New Roman"/>
              <a:cs typeface="Times New Roman"/>
            </a:rPr>
            <a:t>3. </a:t>
          </a:r>
          <a:r>
            <a:rPr lang="en-US" sz="1200" b="0" i="0" u="none" strike="noStrike" baseline="0">
              <a:solidFill>
                <a:srgbClr val="000000"/>
              </a:solidFill>
              <a:latin typeface="Times New Roman"/>
              <a:cs typeface="Times New Roman"/>
            </a:rPr>
            <a:t>Indicate the employee’s Federal Tax withholding information found on the W-4 or in IRIS HRM on the DEDM screen under Employee Tax Parameters. Be sure to select the correct year for W-4 submission date. W-4's have changed significantly from 2020 onward, but IRS rules have allowed employees to retain their previous withholding selections if they have not yet submitted a new 2020 or later form. Which form is in effect will impact how taxes are calculated.</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600" b="0" i="0" u="none" strike="noStrike" baseline="0">
              <a:solidFill>
                <a:srgbClr val="000000"/>
              </a:solidFill>
              <a:latin typeface="Times New Roman"/>
              <a:cs typeface="Times New Roman"/>
            </a:rPr>
            <a:t>4. </a:t>
          </a:r>
          <a:r>
            <a:rPr lang="en-US" sz="1200" b="0" i="0" u="none" strike="noStrike" baseline="0">
              <a:solidFill>
                <a:srgbClr val="000000"/>
              </a:solidFill>
              <a:latin typeface="Times New Roman"/>
              <a:cs typeface="Times New Roman"/>
            </a:rPr>
            <a:t>Enter the total Gross Pay, leave cash-in/term leave pay, additional taxable retirement earnings (overtime, shift, gross overpayment collections, etc.), additional taxable non-retirement earnings (settlement, taxable travel, etc.) or additional non-taxable earnings (non-taxable travel, etc.) in the appropriate fields.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600" b="0" i="0" u="none" strike="noStrike" baseline="0">
              <a:solidFill>
                <a:srgbClr val="000000"/>
              </a:solidFill>
              <a:latin typeface="Times New Roman"/>
              <a:cs typeface="Times New Roman"/>
            </a:rPr>
            <a:t>5. </a:t>
          </a:r>
          <a:r>
            <a:rPr lang="en-US" sz="1200" b="0" i="0" u="none" strike="noStrike" baseline="0">
              <a:solidFill>
                <a:srgbClr val="000000"/>
              </a:solidFill>
              <a:latin typeface="Times New Roman"/>
              <a:cs typeface="Times New Roman"/>
            </a:rPr>
            <a:t>Enter any Taxable Non-cash amounts such as Vehicle Personal Use, State-provided Electronic Equipment , or Legal Trust. These are not cash payments, but are taxed, so a corresponding deduction will populate in the Taxable Non-Cash (offset) field to remove this amount after taxes are assessed.</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600" b="0" i="0" u="none" strike="noStrike" baseline="0">
              <a:solidFill>
                <a:srgbClr val="000000"/>
              </a:solidFill>
              <a:latin typeface="Times New Roman"/>
              <a:cs typeface="Times New Roman"/>
            </a:rPr>
            <a:t>6. </a:t>
          </a:r>
          <a:r>
            <a:rPr lang="en-US" sz="1200" b="0" i="0" u="none" strike="noStrike" baseline="0">
              <a:solidFill>
                <a:srgbClr val="000000"/>
              </a:solidFill>
              <a:latin typeface="Times New Roman"/>
              <a:cs typeface="Times New Roman"/>
            </a:rPr>
            <a:t>Retirement will automatically calculate based on the Type selected.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600" b="0" i="0" u="none" strike="noStrike" baseline="0">
              <a:solidFill>
                <a:srgbClr val="000000"/>
              </a:solidFill>
              <a:latin typeface="Times New Roman"/>
              <a:cs typeface="Times New Roman"/>
            </a:rPr>
            <a:t>7. </a:t>
          </a:r>
          <a:r>
            <a:rPr lang="en-US" sz="1200" b="0" i="0" u="none" strike="noStrike" baseline="0">
              <a:solidFill>
                <a:srgbClr val="000000"/>
              </a:solidFill>
              <a:latin typeface="Times New Roman"/>
              <a:cs typeface="Times New Roman"/>
            </a:rPr>
            <a:t>SBS Mandatory will automatically calculate unless not eligible box is checked.  The yearly limit for SBS contributions is $9011.10 (6.13% of $147,000 in earnings). If the employee is near this threshold then enter their current year-to-date SBS contribution amounts into the YTD SBS field. If YTD SBS plus SBS for the current check would exceed the yearly maximum, current contributions for this check will automatically be reduced to within that limit.</a:t>
          </a:r>
          <a:endParaRPr lang="en-US" sz="12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en-US" sz="1200" b="0" i="0" u="none" strike="noStrike" baseline="0">
            <a:solidFill>
              <a:srgbClr val="000000"/>
            </a:solidFill>
            <a:latin typeface="Times New Roman" panose="02020603050405020304" pitchFamily="18" charset="0"/>
            <a:cs typeface="Times New Roman" panose="02020603050405020304" pitchFamily="18"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600" b="0" i="0" baseline="0">
              <a:effectLst/>
              <a:latin typeface="Times New Roman" panose="02020603050405020304" pitchFamily="18" charset="0"/>
              <a:ea typeface="+mn-ea"/>
              <a:cs typeface="Times New Roman" panose="02020603050405020304" pitchFamily="18" charset="0"/>
            </a:rPr>
            <a:t>8.</a:t>
          </a:r>
          <a:r>
            <a:rPr lang="en-US" sz="1000" b="0" i="0" baseline="0">
              <a:effectLst/>
              <a:latin typeface="Times New Roman" panose="02020603050405020304" pitchFamily="18" charset="0"/>
              <a:ea typeface="+mn-ea"/>
              <a:cs typeface="Times New Roman" panose="02020603050405020304" pitchFamily="18" charset="0"/>
            </a:rPr>
            <a:t> </a:t>
          </a:r>
          <a:r>
            <a:rPr lang="en-US" sz="1200" b="0" i="0" baseline="0">
              <a:effectLst/>
              <a:latin typeface="Times New Roman" panose="02020603050405020304" pitchFamily="18" charset="0"/>
              <a:ea typeface="+mn-ea"/>
              <a:cs typeface="Times New Roman" panose="02020603050405020304" pitchFamily="18" charset="0"/>
            </a:rPr>
            <a:t>Enter any additional pre-tax deductions (health insurance, SBS Vol, HFSA, etc) and deferred compensation amounts as positive amounts to decrease pay by that amount.</a:t>
          </a:r>
          <a:endParaRPr lang="en-US" sz="12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en-US" sz="12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r>
            <a:rPr lang="en-US" sz="1600" b="0" i="0" u="none" strike="noStrike" baseline="0">
              <a:solidFill>
                <a:srgbClr val="000000"/>
              </a:solidFill>
              <a:latin typeface="Times New Roman" panose="02020603050405020304" pitchFamily="18" charset="0"/>
              <a:cs typeface="Times New Roman" panose="02020603050405020304" pitchFamily="18" charset="0"/>
            </a:rPr>
            <a:t>9. </a:t>
          </a:r>
          <a:r>
            <a:rPr lang="en-US" sz="1200" b="0" i="0" u="none" strike="noStrike" baseline="0">
              <a:solidFill>
                <a:srgbClr val="000000"/>
              </a:solidFill>
              <a:latin typeface="Times New Roman" panose="02020603050405020304" pitchFamily="18" charset="0"/>
              <a:cs typeface="Times New Roman" panose="02020603050405020304" pitchFamily="18" charset="0"/>
            </a:rPr>
            <a:t>The Taxable gross, Medicare, federal withholding and legal trust fields will automatically </a:t>
          </a:r>
          <a:r>
            <a:rPr lang="en-US" sz="1200" b="0" i="0" u="none" strike="noStrike" baseline="0">
              <a:solidFill>
                <a:srgbClr val="000000"/>
              </a:solidFill>
              <a:latin typeface="Times New Roman"/>
              <a:cs typeface="Times New Roman"/>
            </a:rPr>
            <a:t>calculate.  Enter any additional flat tax, optional life insurance, union dues, business expense </a:t>
          </a:r>
          <a:r>
            <a:rPr lang="en-US" sz="1200" b="0" i="0" u="none" strike="noStrike" baseline="0">
              <a:solidFill>
                <a:srgbClr val="000000"/>
              </a:solidFill>
              <a:latin typeface="Times New Roman" panose="02020603050405020304" pitchFamily="18" charset="0"/>
              <a:cs typeface="Times New Roman" panose="02020603050405020304" pitchFamily="18" charset="0"/>
            </a:rPr>
            <a:t>recovery, or other miscellaneous net adjustments or deductions as positives to decrease pay by that amount.  </a:t>
          </a:r>
        </a:p>
        <a:p>
          <a:pPr algn="l" rtl="0">
            <a:defRPr sz="1000"/>
          </a:pPr>
          <a:endParaRPr lang="en-US" sz="12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NOTE:  The final calculation will be a close estimation of the net pay calculated by the Payroll </a:t>
          </a:r>
          <a:r>
            <a:rPr lang="en-US" sz="1200" b="0" i="0" u="none" strike="noStrike" baseline="0">
              <a:solidFill>
                <a:srgbClr val="000000"/>
              </a:solidFill>
              <a:latin typeface="Times New Roman"/>
              <a:cs typeface="Times New Roman"/>
            </a:rPr>
            <a:t>System</a:t>
          </a:r>
          <a:r>
            <a:rPr lang="en-US" sz="1000" b="0" i="0" u="none" strike="noStrike" baseline="0">
              <a:solidFill>
                <a:srgbClr val="000000"/>
              </a:solidFill>
              <a:latin typeface="Times New Roman"/>
              <a:cs typeface="Times New Roman"/>
            </a:rPr>
            <a:t>.</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200" b="0" i="0" u="none" strike="noStrike" baseline="0">
              <a:solidFill>
                <a:schemeClr val="accent1">
                  <a:lumMod val="50000"/>
                </a:schemeClr>
              </a:solidFill>
              <a:latin typeface="Times New Roman"/>
              <a:cs typeface="Times New Roman"/>
            </a:rPr>
            <a:t>This spreadsheet provided by the  State of Alaska, Department of Administration, Division of Finance, Payroll Section, and  </a:t>
          </a:r>
          <a:r>
            <a:rPr lang="en-US" sz="1200" b="0" i="0" baseline="0">
              <a:solidFill>
                <a:schemeClr val="accent1">
                  <a:lumMod val="50000"/>
                </a:schemeClr>
              </a:solidFill>
              <a:latin typeface="Times New Roman" pitchFamily="18" charset="0"/>
              <a:ea typeface="+mn-ea"/>
              <a:cs typeface="Times New Roman" pitchFamily="18" charset="0"/>
            </a:rPr>
            <a:t>requires a detailed understanding of the State of Alaska payroll system.  Even small errors in the entered data will cause the results to be incorrect.</a:t>
          </a:r>
          <a:endParaRPr lang="en-US" sz="1200">
            <a:solidFill>
              <a:schemeClr val="accent1">
                <a:lumMod val="50000"/>
              </a:schemeClr>
            </a:solidFill>
            <a:latin typeface="Times New Roman" pitchFamily="18" charset="0"/>
            <a:cs typeface="Times New Roman" pitchFamily="18" charset="0"/>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68580</xdr:colOff>
          <xdr:row>21</xdr:row>
          <xdr:rowOff>99060</xdr:rowOff>
        </xdr:from>
        <xdr:to>
          <xdr:col>9</xdr:col>
          <xdr:colOff>342900</xdr:colOff>
          <xdr:row>22</xdr:row>
          <xdr:rowOff>106680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0">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if Medicare Eligible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403860</xdr:colOff>
          <xdr:row>21</xdr:row>
          <xdr:rowOff>99060</xdr:rowOff>
        </xdr:from>
        <xdr:to>
          <xdr:col>11</xdr:col>
          <xdr:colOff>670560</xdr:colOff>
          <xdr:row>22</xdr:row>
          <xdr:rowOff>106680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0">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if NOT SBS eligible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41</xdr:row>
          <xdr:rowOff>0</xdr:rowOff>
        </xdr:from>
        <xdr:to>
          <xdr:col>12</xdr:col>
          <xdr:colOff>0</xdr:colOff>
          <xdr:row>42</xdr:row>
          <xdr:rowOff>0</xdr:rowOff>
        </xdr:to>
        <xdr:sp macro="" textlink="">
          <xdr:nvSpPr>
            <xdr:cNvPr id="1288" name="Check Box 264" descr="Check to use 22% Supplemental Income Tax Rate" hidden="1">
              <a:extLst>
                <a:ext uri="{63B3BB69-23CF-44E3-9099-C40C66FF867C}">
                  <a14:compatExt spid="_x0000_s1288"/>
                </a:ext>
                <a:ext uri="{FF2B5EF4-FFF2-40B4-BE49-F238E27FC236}">
                  <a16:creationId xmlns:a16="http://schemas.microsoft.com/office/drawing/2014/main" id="{00000000-0008-0000-0100-00000805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27"/>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use 22% Supplemental Income Tax Rate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G2:K59"/>
  <sheetViews>
    <sheetView showGridLines="0" showRowColHeaders="0" zoomScaleNormal="100" workbookViewId="0">
      <selection activeCell="M24" sqref="M24"/>
    </sheetView>
  </sheetViews>
  <sheetFormatPr defaultColWidth="11.44140625" defaultRowHeight="15" x14ac:dyDescent="0.25"/>
  <cols>
    <col min="1" max="16384" width="11.44140625" style="1"/>
  </cols>
  <sheetData>
    <row r="2" spans="9:11" x14ac:dyDescent="0.25">
      <c r="I2" s="1" t="s">
        <v>13</v>
      </c>
      <c r="K2" s="1" t="s">
        <v>13</v>
      </c>
    </row>
    <row r="3" spans="9:11" x14ac:dyDescent="0.25">
      <c r="I3" s="1" t="s">
        <v>13</v>
      </c>
    </row>
    <row r="59" spans="7:7" x14ac:dyDescent="0.25">
      <c r="G59" s="1" t="s">
        <v>13</v>
      </c>
    </row>
  </sheetData>
  <sheetProtection password="83AF" sheet="1" selectLockedCells="1" selectUnlockedCells="1"/>
  <phoneticPr fontId="0"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F218"/>
  <sheetViews>
    <sheetView showGridLines="0" tabSelected="1" zoomScaleNormal="100" workbookViewId="0">
      <selection activeCell="D9" sqref="D9:G9"/>
    </sheetView>
  </sheetViews>
  <sheetFormatPr defaultColWidth="8.88671875" defaultRowHeight="13.2" x14ac:dyDescent="0.25"/>
  <cols>
    <col min="1" max="2" width="1.44140625" style="19" customWidth="1"/>
    <col min="3" max="12" width="10.6640625" style="19" customWidth="1"/>
    <col min="13" max="13" width="1.44140625" style="10" customWidth="1"/>
    <col min="14" max="14" width="1.44140625" style="19" customWidth="1"/>
    <col min="15" max="15" width="53.5546875" style="51" hidden="1" customWidth="1"/>
    <col min="16" max="16" width="31" style="19" hidden="1" customWidth="1"/>
    <col min="17" max="17" width="33.88671875" style="19" hidden="1" customWidth="1"/>
    <col min="18" max="18" width="25.44140625" style="19" hidden="1" customWidth="1"/>
    <col min="19" max="19" width="26.6640625" style="68" hidden="1" customWidth="1"/>
    <col min="20" max="20" width="6.109375" style="19" bestFit="1" customWidth="1"/>
    <col min="21" max="21" width="81.44140625" style="19" bestFit="1" customWidth="1"/>
    <col min="22" max="22" width="20.6640625" style="19" customWidth="1"/>
    <col min="23" max="23" width="22.88671875" style="19" customWidth="1"/>
    <col min="24" max="24" width="18.109375" style="19" customWidth="1"/>
    <col min="25" max="16384" width="8.88671875" style="19"/>
  </cols>
  <sheetData>
    <row r="1" spans="1:32" ht="7.5" customHeight="1" thickBot="1" x14ac:dyDescent="0.3">
      <c r="A1" s="10"/>
      <c r="B1" s="10"/>
      <c r="C1" s="10"/>
      <c r="D1" s="10"/>
      <c r="E1" s="10"/>
      <c r="F1" s="10"/>
      <c r="G1" s="10"/>
      <c r="H1" s="10"/>
      <c r="I1" s="10"/>
      <c r="J1" s="10"/>
      <c r="K1" s="10"/>
      <c r="L1" s="10"/>
      <c r="N1" s="10"/>
      <c r="O1" s="6"/>
    </row>
    <row r="2" spans="1:32" ht="22.5" customHeight="1" thickTop="1" x14ac:dyDescent="0.4">
      <c r="A2" s="41" t="s">
        <v>13</v>
      </c>
      <c r="B2" s="42"/>
      <c r="C2" s="43"/>
      <c r="D2" s="9" t="s">
        <v>13</v>
      </c>
      <c r="E2" s="9"/>
      <c r="F2" s="128" t="s">
        <v>141</v>
      </c>
      <c r="G2" s="128"/>
      <c r="H2" s="128"/>
      <c r="I2" s="128"/>
      <c r="J2" s="23"/>
      <c r="K2" s="129" t="s">
        <v>147</v>
      </c>
      <c r="L2" s="129"/>
      <c r="M2" s="130"/>
      <c r="O2" s="76" t="s">
        <v>53</v>
      </c>
      <c r="P2" s="44" t="b">
        <f>($I$13=O2)</f>
        <v>0</v>
      </c>
      <c r="Q2" s="75" t="s">
        <v>54</v>
      </c>
      <c r="R2" s="70" t="b">
        <f>($I$13=Q2)</f>
        <v>1</v>
      </c>
      <c r="S2" s="80" t="s">
        <v>127</v>
      </c>
    </row>
    <row r="3" spans="1:32" ht="16.5" customHeight="1" x14ac:dyDescent="0.25">
      <c r="B3" s="46"/>
      <c r="C3" s="192" t="s">
        <v>125</v>
      </c>
      <c r="D3" s="192"/>
      <c r="E3" s="192"/>
      <c r="F3" s="192"/>
      <c r="G3" s="192"/>
      <c r="H3" s="192"/>
      <c r="I3" s="192"/>
      <c r="J3" s="192"/>
      <c r="K3" s="192"/>
      <c r="L3" s="192"/>
      <c r="M3" s="24"/>
      <c r="O3" s="76" t="s">
        <v>60</v>
      </c>
      <c r="P3" s="44" t="b">
        <f>($I$14=O3)</f>
        <v>0</v>
      </c>
      <c r="Q3" s="75" t="s">
        <v>61</v>
      </c>
      <c r="R3" s="70" t="b">
        <f>($I$14=Q3)</f>
        <v>0</v>
      </c>
      <c r="S3" s="79">
        <v>0</v>
      </c>
      <c r="U3" s="19" t="s">
        <v>13</v>
      </c>
    </row>
    <row r="4" spans="1:32" ht="16.5" customHeight="1" x14ac:dyDescent="0.25">
      <c r="B4" s="46"/>
      <c r="C4" s="192"/>
      <c r="D4" s="192"/>
      <c r="E4" s="192"/>
      <c r="F4" s="192"/>
      <c r="G4" s="192"/>
      <c r="H4" s="192"/>
      <c r="I4" s="192"/>
      <c r="J4" s="192"/>
      <c r="K4" s="192"/>
      <c r="L4" s="192"/>
      <c r="M4" s="24"/>
      <c r="O4" s="76" t="s">
        <v>46</v>
      </c>
      <c r="P4" s="44" t="b">
        <f>($I$14=O4)</f>
        <v>0</v>
      </c>
      <c r="Q4" s="75" t="s">
        <v>71</v>
      </c>
      <c r="R4" s="70" t="b">
        <f>($I$14=Q4)</f>
        <v>0</v>
      </c>
      <c r="S4" s="79">
        <v>1</v>
      </c>
    </row>
    <row r="5" spans="1:32" ht="16.5" customHeight="1" x14ac:dyDescent="0.25">
      <c r="B5" s="46"/>
      <c r="C5" s="81" t="s">
        <v>134</v>
      </c>
      <c r="D5" s="197" t="s">
        <v>131</v>
      </c>
      <c r="E5" s="197"/>
      <c r="F5" s="197"/>
      <c r="G5" s="197"/>
      <c r="H5" s="197"/>
      <c r="I5" s="197"/>
      <c r="J5" s="197"/>
      <c r="K5" s="197"/>
      <c r="L5" s="198"/>
      <c r="M5" s="24"/>
      <c r="O5" s="76" t="s">
        <v>47</v>
      </c>
      <c r="P5" s="44" t="b">
        <f>($I$14=O5)</f>
        <v>0</v>
      </c>
      <c r="Q5" s="75" t="s">
        <v>128</v>
      </c>
      <c r="R5" s="70" t="b">
        <f>($I$14=Q5)</f>
        <v>1</v>
      </c>
      <c r="S5" s="79">
        <v>2</v>
      </c>
    </row>
    <row r="6" spans="1:32" ht="16.5" customHeight="1" x14ac:dyDescent="0.25">
      <c r="A6" s="47"/>
      <c r="B6" s="48"/>
      <c r="C6" s="82" t="s">
        <v>135</v>
      </c>
      <c r="D6" s="195" t="s">
        <v>132</v>
      </c>
      <c r="E6" s="195"/>
      <c r="F6" s="195"/>
      <c r="G6" s="195"/>
      <c r="H6" s="195"/>
      <c r="I6" s="195"/>
      <c r="J6" s="195"/>
      <c r="K6" s="195"/>
      <c r="L6" s="196"/>
      <c r="M6" s="25"/>
      <c r="N6" s="47"/>
      <c r="O6" s="76"/>
      <c r="P6" s="49"/>
      <c r="Q6" s="75" t="s">
        <v>51</v>
      </c>
      <c r="R6" s="70" t="b">
        <f>($I$15=Q6)</f>
        <v>1</v>
      </c>
      <c r="S6" s="79">
        <v>3</v>
      </c>
    </row>
    <row r="7" spans="1:32" ht="16.5" customHeight="1" x14ac:dyDescent="0.25">
      <c r="A7" s="47"/>
      <c r="B7" s="48"/>
      <c r="C7" s="83" t="s">
        <v>136</v>
      </c>
      <c r="D7" s="193" t="s">
        <v>133</v>
      </c>
      <c r="E7" s="193"/>
      <c r="F7" s="193"/>
      <c r="G7" s="193"/>
      <c r="H7" s="193"/>
      <c r="I7" s="193"/>
      <c r="J7" s="193"/>
      <c r="K7" s="193"/>
      <c r="L7" s="194"/>
      <c r="M7" s="3"/>
      <c r="N7" s="47"/>
      <c r="O7" s="76"/>
      <c r="P7" s="49"/>
      <c r="Q7" s="75" t="s">
        <v>50</v>
      </c>
      <c r="R7" s="70" t="b">
        <f>($I$15=Q7)</f>
        <v>0</v>
      </c>
      <c r="S7" s="79">
        <v>4</v>
      </c>
    </row>
    <row r="8" spans="1:32" ht="7.5" customHeight="1" x14ac:dyDescent="0.25">
      <c r="A8" s="47"/>
      <c r="B8" s="48"/>
      <c r="C8" s="74"/>
      <c r="D8" s="74"/>
      <c r="E8" s="74"/>
      <c r="F8" s="74"/>
      <c r="G8" s="74"/>
      <c r="H8" s="74"/>
      <c r="I8" s="74"/>
      <c r="J8" s="74"/>
      <c r="K8" s="74"/>
      <c r="L8" s="74"/>
      <c r="M8" s="3"/>
      <c r="N8" s="47"/>
      <c r="O8" s="76"/>
      <c r="P8" s="49"/>
      <c r="Q8" s="75"/>
      <c r="R8" s="70"/>
      <c r="S8" s="79">
        <v>5</v>
      </c>
    </row>
    <row r="9" spans="1:32" ht="16.5" customHeight="1" x14ac:dyDescent="0.4">
      <c r="A9" s="10"/>
      <c r="B9" s="46"/>
      <c r="C9" s="73" t="s">
        <v>0</v>
      </c>
      <c r="D9" s="213"/>
      <c r="E9" s="213"/>
      <c r="F9" s="213"/>
      <c r="G9" s="213"/>
      <c r="H9" s="73"/>
      <c r="I9" s="73" t="s">
        <v>18</v>
      </c>
      <c r="J9" s="212"/>
      <c r="K9" s="212"/>
      <c r="L9" s="212"/>
      <c r="M9" s="4"/>
      <c r="N9" s="50"/>
      <c r="O9" s="76"/>
      <c r="P9" s="49"/>
      <c r="Q9" s="75" t="s">
        <v>64</v>
      </c>
      <c r="R9" s="78">
        <f>IF($R$2,I16,0)</f>
        <v>0</v>
      </c>
      <c r="S9" s="79">
        <v>6</v>
      </c>
      <c r="AF9" s="8"/>
    </row>
    <row r="10" spans="1:32" ht="16.5" customHeight="1" x14ac:dyDescent="0.25">
      <c r="A10" s="10"/>
      <c r="B10" s="46"/>
      <c r="C10" s="27"/>
      <c r="D10" s="27"/>
      <c r="E10" s="27"/>
      <c r="F10" s="27"/>
      <c r="G10" s="27"/>
      <c r="H10" s="27"/>
      <c r="I10" s="10"/>
      <c r="J10" s="10"/>
      <c r="K10" s="10"/>
      <c r="M10" s="26"/>
      <c r="N10" s="10"/>
      <c r="O10" s="76" t="s">
        <v>62</v>
      </c>
      <c r="P10" s="69">
        <f>IF($P$2,IF(OR(I15="Yes",I15="No"),0,I15),0)</f>
        <v>0</v>
      </c>
      <c r="Q10" s="75" t="s">
        <v>65</v>
      </c>
      <c r="R10" s="78">
        <f>IF($R$2,I17,0)</f>
        <v>0</v>
      </c>
      <c r="S10" s="79">
        <v>7</v>
      </c>
    </row>
    <row r="11" spans="1:32" ht="16.5" customHeight="1" x14ac:dyDescent="0.25">
      <c r="A11" s="10"/>
      <c r="B11" s="46"/>
      <c r="C11" s="207" t="s">
        <v>52</v>
      </c>
      <c r="D11" s="208"/>
      <c r="E11" s="208"/>
      <c r="F11" s="208"/>
      <c r="G11" s="208"/>
      <c r="H11" s="208"/>
      <c r="I11" s="208"/>
      <c r="J11" s="208"/>
      <c r="K11" s="208"/>
      <c r="L11" s="209"/>
      <c r="M11" s="28"/>
      <c r="N11" s="10"/>
      <c r="O11" s="76"/>
      <c r="P11" s="49"/>
      <c r="Q11" s="75" t="s">
        <v>66</v>
      </c>
      <c r="R11" s="78">
        <f>IF($R$2,I18,0)</f>
        <v>0</v>
      </c>
      <c r="S11" s="79">
        <v>8</v>
      </c>
    </row>
    <row r="12" spans="1:32" ht="7.5" customHeight="1" x14ac:dyDescent="0.25">
      <c r="A12" s="10"/>
      <c r="B12" s="46"/>
      <c r="C12" s="86"/>
      <c r="D12" s="85"/>
      <c r="E12" s="21"/>
      <c r="F12" s="21"/>
      <c r="G12" s="21"/>
      <c r="H12" s="21"/>
      <c r="I12" s="21"/>
      <c r="J12" s="21"/>
      <c r="K12" s="21"/>
      <c r="L12" s="87"/>
      <c r="M12" s="28"/>
      <c r="N12" s="10"/>
      <c r="S12" s="79">
        <v>9</v>
      </c>
    </row>
    <row r="13" spans="1:32" ht="16.5" customHeight="1" x14ac:dyDescent="0.25">
      <c r="A13" s="10"/>
      <c r="B13" s="46"/>
      <c r="C13" s="214" t="str">
        <f>IF($I$13="","REQUIRED FIELD → → →","")</f>
        <v/>
      </c>
      <c r="D13" s="215"/>
      <c r="E13" s="131" t="s">
        <v>63</v>
      </c>
      <c r="F13" s="131"/>
      <c r="G13" s="131"/>
      <c r="H13" s="131"/>
      <c r="I13" s="203" t="s">
        <v>54</v>
      </c>
      <c r="J13" s="203"/>
      <c r="K13" s="203"/>
      <c r="L13" s="204"/>
      <c r="M13" s="52"/>
      <c r="N13" s="10"/>
      <c r="S13" s="79">
        <v>10</v>
      </c>
    </row>
    <row r="14" spans="1:32" ht="16.5" customHeight="1" x14ac:dyDescent="0.25">
      <c r="A14" s="10"/>
      <c r="B14" s="46"/>
      <c r="C14" s="132" t="str">
        <f>IF($I$14="","REQUIRED FIELD → → →",IF(OR(AND($R$2,I14="Married/Withhold as Single"),AND($P$2,I14="Head of Household")),"Invalid Entry In This Field",""))</f>
        <v/>
      </c>
      <c r="D14" s="133"/>
      <c r="E14" s="216" t="str">
        <f>IF($P$2,"Marital Status (W-4 Line 3):  ","Marital Status (W-4 Step 1c):  ")</f>
        <v xml:space="preserve">Marital Status (W-4 Step 1c):  </v>
      </c>
      <c r="F14" s="216"/>
      <c r="G14" s="216"/>
      <c r="H14" s="216"/>
      <c r="I14" s="201" t="s">
        <v>128</v>
      </c>
      <c r="J14" s="201"/>
      <c r="K14" s="201"/>
      <c r="L14" s="202"/>
      <c r="M14" s="29"/>
      <c r="O14" s="75"/>
      <c r="P14" s="59"/>
      <c r="Q14" s="54"/>
      <c r="S14" s="79">
        <v>11</v>
      </c>
    </row>
    <row r="15" spans="1:32" ht="16.5" customHeight="1" x14ac:dyDescent="0.25">
      <c r="A15" s="10"/>
      <c r="B15" s="46"/>
      <c r="C15" s="132" t="str">
        <f>IF($P$2,IF(OR(I15="Yes",I15="No"),"Invalid Entry In This Field",IF(I15="","Note: Blank Field = $0","")),IF(I15="","REQUIRED FIELD → → →",IF(AND(I15&lt;&gt;"Yes",I15&lt;&gt;"No"),"Invalid Entry In This Field","")))</f>
        <v/>
      </c>
      <c r="D15" s="133"/>
      <c r="E15" s="216" t="str">
        <f>IF($P$2,"Allowances (W-4 Line 5):  ","'Multiple Jobs' box checked (W-4 Step 2)? ")</f>
        <v xml:space="preserve">'Multiple Jobs' box checked (W-4 Step 2)? </v>
      </c>
      <c r="F15" s="216"/>
      <c r="G15" s="216"/>
      <c r="H15" s="216"/>
      <c r="I15" s="203" t="s">
        <v>51</v>
      </c>
      <c r="J15" s="203"/>
      <c r="K15" s="203"/>
      <c r="L15" s="204"/>
      <c r="M15" s="29"/>
      <c r="O15" s="75"/>
      <c r="P15" s="59"/>
      <c r="Q15" s="55"/>
      <c r="R15" s="56"/>
      <c r="S15" s="79">
        <v>12</v>
      </c>
    </row>
    <row r="16" spans="1:32" ht="16.5" customHeight="1" x14ac:dyDescent="0.25">
      <c r="A16" s="10"/>
      <c r="B16" s="46"/>
      <c r="C16" s="132" t="str">
        <f>IF(I16="","Note: Blank Field = $0","")</f>
        <v>Note: Blank Field = $0</v>
      </c>
      <c r="D16" s="133"/>
      <c r="E16" s="131" t="str">
        <f>IF($P$2,"Additional Flat Taxes - ADDTX (W-4 Line 6):  ","Dependents (W-4 Step 3):  ")</f>
        <v xml:space="preserve">Dependents (W-4 Step 3):  </v>
      </c>
      <c r="F16" s="131"/>
      <c r="G16" s="131"/>
      <c r="H16" s="131"/>
      <c r="I16" s="134"/>
      <c r="J16" s="134"/>
      <c r="K16" s="134"/>
      <c r="L16" s="135"/>
      <c r="M16" s="29"/>
      <c r="O16" s="53" t="s">
        <v>59</v>
      </c>
      <c r="P16" s="44" t="b">
        <f>($C$23=O16)</f>
        <v>1</v>
      </c>
      <c r="Q16" s="55"/>
      <c r="R16" s="57"/>
      <c r="S16" s="79">
        <v>13</v>
      </c>
    </row>
    <row r="17" spans="1:19" ht="16.5" customHeight="1" x14ac:dyDescent="0.25">
      <c r="A17" s="10"/>
      <c r="B17" s="46"/>
      <c r="C17" s="132" t="str">
        <f>IF($P$2,"",IF(I17="","Note: Blank Field = $0",""))</f>
        <v>Note: Blank Field = $0</v>
      </c>
      <c r="D17" s="133"/>
      <c r="E17" s="131" t="str">
        <f>IF($P$2,"","Other Income (W-4 Step 4a):  ")</f>
        <v xml:space="preserve">Other Income (W-4 Step 4a):  </v>
      </c>
      <c r="F17" s="131"/>
      <c r="G17" s="131"/>
      <c r="H17" s="131"/>
      <c r="I17" s="150"/>
      <c r="J17" s="150"/>
      <c r="K17" s="150"/>
      <c r="L17" s="151"/>
      <c r="M17" s="29"/>
      <c r="O17" s="53" t="s">
        <v>58</v>
      </c>
      <c r="P17" s="44" t="b">
        <f>($C$23=O17)</f>
        <v>0</v>
      </c>
      <c r="Q17" s="55"/>
      <c r="R17" s="57"/>
      <c r="S17" s="79">
        <v>14</v>
      </c>
    </row>
    <row r="18" spans="1:19" ht="16.5" customHeight="1" x14ac:dyDescent="0.25">
      <c r="A18" s="10"/>
      <c r="B18" s="46"/>
      <c r="C18" s="132" t="str">
        <f>IF($P$2,"",IF(I18="","Note: Blank Field = $0",""))</f>
        <v>Note: Blank Field = $0</v>
      </c>
      <c r="D18" s="133"/>
      <c r="E18" s="131" t="str">
        <f>IF($P$2,"","Deductions (W-4 Step 4b):  ")</f>
        <v xml:space="preserve">Deductions (W-4 Step 4b):  </v>
      </c>
      <c r="F18" s="131"/>
      <c r="G18" s="131"/>
      <c r="H18" s="131"/>
      <c r="I18" s="134"/>
      <c r="J18" s="134"/>
      <c r="K18" s="134"/>
      <c r="L18" s="135"/>
      <c r="M18" s="29"/>
      <c r="O18" s="53" t="s">
        <v>57</v>
      </c>
      <c r="P18" s="44" t="b">
        <f>($C$23=O18)</f>
        <v>0</v>
      </c>
      <c r="Q18" s="55"/>
      <c r="R18" s="57"/>
      <c r="S18" s="79">
        <v>15</v>
      </c>
    </row>
    <row r="19" spans="1:19" ht="16.5" customHeight="1" x14ac:dyDescent="0.25">
      <c r="A19" s="10"/>
      <c r="B19" s="46"/>
      <c r="C19" s="132" t="str">
        <f>IF($P$2,"",IF(I19="","Note: Blank Field = $0",""))</f>
        <v>Note: Blank Field = $0</v>
      </c>
      <c r="D19" s="133"/>
      <c r="E19" s="131" t="str">
        <f>IF($P$2,"","Extra Withholding - ADDTX (W-4 Step 4c):  ")</f>
        <v xml:space="preserve">Extra Withholding - ADDTX (W-4 Step 4c):  </v>
      </c>
      <c r="F19" s="131"/>
      <c r="G19" s="131"/>
      <c r="H19" s="131"/>
      <c r="I19" s="134"/>
      <c r="J19" s="134"/>
      <c r="K19" s="134"/>
      <c r="L19" s="135"/>
      <c r="M19" s="29"/>
      <c r="N19" s="10"/>
      <c r="O19" s="6"/>
      <c r="Q19" s="55"/>
      <c r="R19" s="56"/>
      <c r="S19" s="79">
        <v>16</v>
      </c>
    </row>
    <row r="20" spans="1:19" ht="7.5" customHeight="1" x14ac:dyDescent="0.25">
      <c r="A20" s="10"/>
      <c r="B20" s="46"/>
      <c r="C20" s="91"/>
      <c r="D20" s="92"/>
      <c r="E20" s="93"/>
      <c r="F20" s="93"/>
      <c r="G20" s="88"/>
      <c r="H20" s="88"/>
      <c r="I20" s="89"/>
      <c r="J20" s="89"/>
      <c r="K20" s="89"/>
      <c r="L20" s="90"/>
      <c r="M20" s="29"/>
      <c r="N20" s="10"/>
      <c r="O20" s="75" t="s">
        <v>126</v>
      </c>
      <c r="P20" s="77" t="b">
        <f>(OR(I9="",I13="",C23="",AND(I13="2019 or Earlier",OR(I14="",R3,R6,R7)),AND(I13="2020 or Later",OR(I14="",I15="",P3,AND(I15&lt;&gt;"Yes",I15&lt;&gt;"No")))))</f>
        <v>0</v>
      </c>
      <c r="Q20" s="55"/>
      <c r="R20" s="56"/>
      <c r="S20" s="79">
        <v>17</v>
      </c>
    </row>
    <row r="21" spans="1:19" ht="7.5" customHeight="1" x14ac:dyDescent="0.25">
      <c r="A21" s="10"/>
      <c r="B21" s="46"/>
      <c r="C21" s="20"/>
      <c r="D21" s="20"/>
      <c r="E21" s="20"/>
      <c r="F21" s="20"/>
      <c r="G21" s="20"/>
      <c r="H21" s="20"/>
      <c r="I21" s="21"/>
      <c r="J21" s="21"/>
      <c r="K21" s="21"/>
      <c r="L21" s="21"/>
      <c r="M21" s="29"/>
      <c r="N21" s="10"/>
      <c r="O21" s="6"/>
      <c r="Q21" s="55"/>
      <c r="R21" s="56"/>
      <c r="S21" s="79">
        <v>18</v>
      </c>
    </row>
    <row r="22" spans="1:19" ht="16.5" customHeight="1" x14ac:dyDescent="0.4">
      <c r="A22" s="10"/>
      <c r="B22" s="46"/>
      <c r="C22" s="138" t="s">
        <v>56</v>
      </c>
      <c r="D22" s="139"/>
      <c r="E22" s="139"/>
      <c r="F22" s="140"/>
      <c r="G22" s="22"/>
      <c r="H22" s="33"/>
      <c r="I22" s="34"/>
      <c r="J22" s="34"/>
      <c r="K22" s="35"/>
      <c r="L22" s="36"/>
      <c r="M22" s="29"/>
      <c r="N22" s="10"/>
      <c r="O22" s="6"/>
      <c r="Q22" s="55"/>
      <c r="R22" s="56"/>
      <c r="S22" s="79">
        <v>19</v>
      </c>
    </row>
    <row r="23" spans="1:19" ht="16.5" customHeight="1" x14ac:dyDescent="0.4">
      <c r="A23" s="10"/>
      <c r="B23" s="46"/>
      <c r="C23" s="205" t="s">
        <v>59</v>
      </c>
      <c r="D23" s="201"/>
      <c r="E23" s="201"/>
      <c r="F23" s="202"/>
      <c r="G23" s="20"/>
      <c r="H23" s="37"/>
      <c r="I23" s="38"/>
      <c r="J23" s="38"/>
      <c r="K23" s="38"/>
      <c r="L23" s="39"/>
      <c r="M23" s="29"/>
      <c r="N23" s="10"/>
      <c r="O23" s="58" t="s">
        <v>44</v>
      </c>
      <c r="P23" s="84" t="b">
        <v>1</v>
      </c>
      <c r="Q23" s="55"/>
      <c r="R23" s="56"/>
      <c r="S23" s="79">
        <v>20</v>
      </c>
    </row>
    <row r="24" spans="1:19" ht="7.5" customHeight="1" x14ac:dyDescent="0.25">
      <c r="A24" s="10"/>
      <c r="B24" s="46"/>
      <c r="C24" s="10"/>
      <c r="D24" s="5"/>
      <c r="E24" s="5"/>
      <c r="F24" s="15"/>
      <c r="G24" s="15"/>
      <c r="H24" s="16"/>
      <c r="I24" s="16"/>
      <c r="J24" s="16"/>
      <c r="K24" s="16"/>
      <c r="L24" s="16"/>
      <c r="M24" s="17"/>
      <c r="N24" s="10"/>
      <c r="O24" s="58" t="s">
        <v>45</v>
      </c>
      <c r="P24" s="84" t="b">
        <v>0</v>
      </c>
      <c r="Q24" s="55"/>
      <c r="R24" s="56"/>
      <c r="S24" s="79">
        <v>21</v>
      </c>
    </row>
    <row r="25" spans="1:19" ht="16.5" customHeight="1" x14ac:dyDescent="0.25">
      <c r="A25" s="10"/>
      <c r="B25" s="46"/>
      <c r="C25" s="206" t="str">
        <f>IF(C23="","↑↑↑ REQUIRED FIELD ↑↑↑","")</f>
        <v/>
      </c>
      <c r="D25" s="206"/>
      <c r="E25" s="206"/>
      <c r="F25" s="206"/>
      <c r="G25" s="15"/>
      <c r="H25" s="30"/>
      <c r="I25" s="148" t="s">
        <v>49</v>
      </c>
      <c r="J25" s="149"/>
      <c r="K25" s="148" t="s">
        <v>48</v>
      </c>
      <c r="L25" s="148"/>
      <c r="M25" s="31"/>
      <c r="N25" s="10"/>
      <c r="O25" s="60"/>
      <c r="P25" s="10"/>
      <c r="Q25" s="10"/>
      <c r="S25" s="79">
        <v>22</v>
      </c>
    </row>
    <row r="26" spans="1:19" ht="15.75" customHeight="1" x14ac:dyDescent="0.25">
      <c r="A26" s="10"/>
      <c r="B26" s="46"/>
      <c r="C26" s="10"/>
      <c r="D26" s="5"/>
      <c r="E26" s="5"/>
      <c r="F26" s="5"/>
      <c r="G26" s="5"/>
      <c r="H26" s="10"/>
      <c r="I26" s="149"/>
      <c r="J26" s="149"/>
      <c r="K26" s="148"/>
      <c r="L26" s="148"/>
      <c r="M26" s="11"/>
      <c r="N26" s="10"/>
      <c r="O26" s="6"/>
      <c r="S26" s="79">
        <v>23</v>
      </c>
    </row>
    <row r="27" spans="1:19" ht="16.5" customHeight="1" x14ac:dyDescent="0.3">
      <c r="A27" s="10"/>
      <c r="B27" s="46"/>
      <c r="C27" s="155" t="s">
        <v>55</v>
      </c>
      <c r="D27" s="156"/>
      <c r="E27" s="156"/>
      <c r="F27" s="156"/>
      <c r="G27" s="210"/>
      <c r="H27" s="211"/>
      <c r="I27" s="149"/>
      <c r="J27" s="149"/>
      <c r="K27" s="148"/>
      <c r="L27" s="148"/>
      <c r="M27" s="11"/>
      <c r="N27" s="10"/>
      <c r="O27" s="6"/>
      <c r="S27" s="79">
        <v>24</v>
      </c>
    </row>
    <row r="28" spans="1:19" ht="16.5" customHeight="1" x14ac:dyDescent="0.25">
      <c r="A28" s="10"/>
      <c r="B28" s="46"/>
      <c r="C28" s="163" t="s">
        <v>1</v>
      </c>
      <c r="D28" s="163"/>
      <c r="E28" s="163"/>
      <c r="F28" s="163"/>
      <c r="G28" s="199"/>
      <c r="H28" s="200"/>
      <c r="I28" s="143"/>
      <c r="J28" s="143"/>
      <c r="K28" s="147" t="s">
        <v>17</v>
      </c>
      <c r="L28" s="147"/>
      <c r="M28" s="4"/>
      <c r="N28" s="10"/>
      <c r="O28" s="6"/>
      <c r="S28" s="79">
        <v>25</v>
      </c>
    </row>
    <row r="29" spans="1:19" ht="16.5" customHeight="1" x14ac:dyDescent="0.25">
      <c r="A29" s="10"/>
      <c r="B29" s="46"/>
      <c r="C29" s="163" t="s">
        <v>122</v>
      </c>
      <c r="D29" s="163"/>
      <c r="E29" s="163"/>
      <c r="F29" s="163"/>
      <c r="G29" s="141"/>
      <c r="H29" s="142"/>
      <c r="I29" s="143"/>
      <c r="J29" s="143"/>
      <c r="K29" s="147"/>
      <c r="L29" s="147"/>
      <c r="M29" s="4"/>
      <c r="N29" s="10"/>
      <c r="O29" s="6"/>
      <c r="S29" s="79">
        <v>26</v>
      </c>
    </row>
    <row r="30" spans="1:19" ht="16.5" customHeight="1" x14ac:dyDescent="0.25">
      <c r="A30" s="10"/>
      <c r="B30" s="46"/>
      <c r="C30" s="163" t="s">
        <v>123</v>
      </c>
      <c r="D30" s="163"/>
      <c r="E30" s="163"/>
      <c r="F30" s="163"/>
      <c r="G30" s="141"/>
      <c r="H30" s="142"/>
      <c r="I30" s="143"/>
      <c r="J30" s="143"/>
      <c r="K30" s="147" t="s">
        <v>39</v>
      </c>
      <c r="L30" s="147"/>
      <c r="M30" s="4"/>
      <c r="N30" s="10"/>
      <c r="O30" s="6"/>
      <c r="S30" s="79">
        <v>27</v>
      </c>
    </row>
    <row r="31" spans="1:19" ht="16.5" customHeight="1" x14ac:dyDescent="0.25">
      <c r="A31" s="10"/>
      <c r="B31" s="46"/>
      <c r="C31" s="163" t="s">
        <v>124</v>
      </c>
      <c r="D31" s="163"/>
      <c r="E31" s="163"/>
      <c r="F31" s="163"/>
      <c r="G31" s="141"/>
      <c r="H31" s="142"/>
      <c r="I31" s="143"/>
      <c r="J31" s="143"/>
      <c r="K31" s="147" t="s">
        <v>16</v>
      </c>
      <c r="L31" s="147"/>
      <c r="M31" s="4"/>
      <c r="N31" s="10"/>
      <c r="O31" s="6"/>
      <c r="S31" s="79">
        <v>28</v>
      </c>
    </row>
    <row r="32" spans="1:19" ht="16.5" customHeight="1" x14ac:dyDescent="0.25">
      <c r="A32" s="10"/>
      <c r="B32" s="46"/>
      <c r="C32" s="163" t="s">
        <v>2</v>
      </c>
      <c r="D32" s="163"/>
      <c r="E32" s="163"/>
      <c r="F32" s="163"/>
      <c r="G32" s="141"/>
      <c r="H32" s="142"/>
      <c r="I32" s="143"/>
      <c r="J32" s="143"/>
      <c r="K32" s="147" t="s">
        <v>23</v>
      </c>
      <c r="L32" s="147"/>
      <c r="M32" s="4"/>
      <c r="N32" s="10"/>
      <c r="O32" s="6"/>
      <c r="S32" s="79">
        <v>29</v>
      </c>
    </row>
    <row r="33" spans="1:21" ht="16.5" customHeight="1" x14ac:dyDescent="0.25">
      <c r="A33" s="10"/>
      <c r="B33" s="46"/>
      <c r="C33" s="6"/>
      <c r="D33" s="6"/>
      <c r="E33" s="6"/>
      <c r="F33" s="6"/>
      <c r="G33" s="6"/>
      <c r="H33" s="6"/>
      <c r="I33" s="6"/>
      <c r="J33" s="6"/>
      <c r="K33" s="6"/>
      <c r="L33" s="6"/>
      <c r="M33" s="4"/>
      <c r="O33" s="6"/>
      <c r="S33" s="79">
        <v>30</v>
      </c>
    </row>
    <row r="34" spans="1:21" ht="16.5" customHeight="1" x14ac:dyDescent="0.25">
      <c r="A34" s="10"/>
      <c r="B34" s="46"/>
      <c r="C34" s="163" t="s">
        <v>14</v>
      </c>
      <c r="D34" s="163"/>
      <c r="E34" s="163"/>
      <c r="F34" s="163"/>
      <c r="G34" s="144">
        <f>IF(P16,ROUND((G27+G29)*I34,2),0)</f>
        <v>0</v>
      </c>
      <c r="H34" s="145"/>
      <c r="I34" s="137">
        <v>0.08</v>
      </c>
      <c r="J34" s="137"/>
      <c r="K34" s="147" t="s">
        <v>26</v>
      </c>
      <c r="L34" s="147"/>
      <c r="M34" s="4"/>
      <c r="O34" s="6"/>
      <c r="S34" s="79">
        <v>31</v>
      </c>
    </row>
    <row r="35" spans="1:21" ht="16.5" customHeight="1" x14ac:dyDescent="0.25">
      <c r="A35" s="10"/>
      <c r="B35" s="46"/>
      <c r="C35" s="163" t="s">
        <v>19</v>
      </c>
      <c r="D35" s="163"/>
      <c r="E35" s="163"/>
      <c r="F35" s="163"/>
      <c r="G35" s="144">
        <f>IF(P17,ROUND((G27+G29)*I35,2),0)</f>
        <v>0</v>
      </c>
      <c r="H35" s="145"/>
      <c r="I35" s="137">
        <v>6.7500000000000004E-2</v>
      </c>
      <c r="J35" s="137"/>
      <c r="K35" s="147" t="s">
        <v>27</v>
      </c>
      <c r="L35" s="147"/>
      <c r="M35" s="4"/>
      <c r="S35" s="79">
        <v>32</v>
      </c>
    </row>
    <row r="36" spans="1:21" ht="16.5" customHeight="1" x14ac:dyDescent="0.25">
      <c r="A36" s="10"/>
      <c r="B36" s="46"/>
      <c r="C36" s="163" t="s">
        <v>20</v>
      </c>
      <c r="D36" s="163"/>
      <c r="E36" s="163"/>
      <c r="F36" s="163"/>
      <c r="G36" s="144">
        <f>IF(P18,ROUND((G27+G29)*I36,2),0)</f>
        <v>0</v>
      </c>
      <c r="H36" s="145"/>
      <c r="I36" s="137">
        <v>7.4999999999999997E-2</v>
      </c>
      <c r="J36" s="137"/>
      <c r="K36" s="147" t="s">
        <v>28</v>
      </c>
      <c r="L36" s="147"/>
      <c r="M36" s="4"/>
      <c r="O36" s="45" t="s">
        <v>148</v>
      </c>
      <c r="P36" s="120">
        <v>9011.1</v>
      </c>
      <c r="S36" s="79">
        <v>33</v>
      </c>
    </row>
    <row r="37" spans="1:21" ht="16.5" customHeight="1" x14ac:dyDescent="0.25">
      <c r="A37" s="10"/>
      <c r="B37" s="46"/>
      <c r="C37" s="154" t="s">
        <v>142</v>
      </c>
      <c r="D37" s="154"/>
      <c r="E37" s="154"/>
      <c r="F37" s="154"/>
      <c r="G37" s="152"/>
      <c r="H37" s="153"/>
      <c r="I37" s="157" t="str">
        <f>"If close to "&amp;TEXT(P36,"$#.00")</f>
        <v>If close to $9011.10</v>
      </c>
      <c r="J37" s="157"/>
      <c r="K37" s="159" t="s">
        <v>13</v>
      </c>
      <c r="L37" s="159"/>
      <c r="M37" s="4"/>
      <c r="O37" s="45" t="s">
        <v>149</v>
      </c>
      <c r="P37" s="103" t="b">
        <f>OR(G37&lt;0,G37&gt;(P36))</f>
        <v>0</v>
      </c>
      <c r="S37" s="79">
        <v>34</v>
      </c>
      <c r="T37" s="104"/>
      <c r="U37" s="126" t="s">
        <v>143</v>
      </c>
    </row>
    <row r="38" spans="1:21" ht="16.5" customHeight="1" x14ac:dyDescent="0.25">
      <c r="A38" s="10"/>
      <c r="B38" s="46"/>
      <c r="C38" s="164" t="str">
        <f>IF(P38,"SBS CONTR MAXED FOR CUR YR","")</f>
        <v/>
      </c>
      <c r="D38" s="164"/>
      <c r="E38" s="164"/>
      <c r="F38" s="6" t="s">
        <v>3</v>
      </c>
      <c r="G38" s="144">
        <f>IF($P$24,0,IF($P$37,"REVIEW ERRORS",IF($P$38,$P$36-$G$37,ROUND((G27+G28+G29+G30+G32)*6.13%,2))))</f>
        <v>0</v>
      </c>
      <c r="H38" s="145"/>
      <c r="I38" s="137">
        <v>6.13E-2</v>
      </c>
      <c r="J38" s="137"/>
      <c r="K38" s="147" t="s">
        <v>29</v>
      </c>
      <c r="L38" s="147"/>
      <c r="M38" s="4"/>
      <c r="O38" s="45"/>
      <c r="P38" s="121" t="b">
        <f>(G37+ROUND((G27+H28+G29+G30+G32)*6.13%,2))&gt;P36</f>
        <v>0</v>
      </c>
      <c r="S38" s="79">
        <v>35</v>
      </c>
      <c r="T38" s="104" t="s">
        <v>137</v>
      </c>
      <c r="U38" s="126"/>
    </row>
    <row r="39" spans="1:21" ht="16.5" customHeight="1" x14ac:dyDescent="0.25">
      <c r="A39" s="10"/>
      <c r="B39" s="46"/>
      <c r="C39" s="163" t="s">
        <v>4</v>
      </c>
      <c r="D39" s="163"/>
      <c r="E39" s="163"/>
      <c r="F39" s="163"/>
      <c r="G39" s="141"/>
      <c r="H39" s="142"/>
      <c r="I39" s="146"/>
      <c r="J39" s="146"/>
      <c r="K39" s="158"/>
      <c r="L39" s="158"/>
      <c r="M39" s="4"/>
      <c r="O39" s="45" t="s">
        <v>150</v>
      </c>
      <c r="P39" s="103" t="b">
        <f>G39&lt;0</f>
        <v>0</v>
      </c>
      <c r="S39" s="79">
        <v>36</v>
      </c>
      <c r="T39" s="104"/>
      <c r="U39" s="127"/>
    </row>
    <row r="40" spans="1:21" ht="16.5" customHeight="1" x14ac:dyDescent="0.25">
      <c r="A40" s="10" t="s">
        <v>13</v>
      </c>
      <c r="B40" s="61"/>
      <c r="C40" s="163" t="s">
        <v>5</v>
      </c>
      <c r="D40" s="163"/>
      <c r="E40" s="163"/>
      <c r="F40" s="163"/>
      <c r="G40" s="141"/>
      <c r="H40" s="142"/>
      <c r="I40" s="146"/>
      <c r="J40" s="146"/>
      <c r="K40" s="147" t="s">
        <v>30</v>
      </c>
      <c r="L40" s="147"/>
      <c r="M40" s="4"/>
      <c r="O40" s="45" t="s">
        <v>151</v>
      </c>
      <c r="P40" s="103" t="b">
        <f>G40&lt;0</f>
        <v>0</v>
      </c>
      <c r="S40" s="79">
        <v>37</v>
      </c>
      <c r="T40" s="94" t="s">
        <v>137</v>
      </c>
      <c r="U40" s="123" t="s">
        <v>138</v>
      </c>
    </row>
    <row r="41" spans="1:21" ht="16.5" customHeight="1" x14ac:dyDescent="0.25">
      <c r="A41" s="10"/>
      <c r="B41" s="61"/>
      <c r="C41" s="165"/>
      <c r="D41" s="165"/>
      <c r="E41" s="165"/>
      <c r="F41" s="165"/>
      <c r="G41" s="136"/>
      <c r="H41" s="136"/>
      <c r="I41" s="136"/>
      <c r="J41" s="136"/>
      <c r="K41" s="160"/>
      <c r="L41" s="160"/>
      <c r="M41" s="4"/>
      <c r="S41" s="79">
        <v>38</v>
      </c>
      <c r="T41" s="94" t="s">
        <v>137</v>
      </c>
      <c r="U41" s="124"/>
    </row>
    <row r="42" spans="1:21" ht="16.5" customHeight="1" x14ac:dyDescent="0.3">
      <c r="A42" s="62"/>
      <c r="B42" s="61"/>
      <c r="C42" s="170" t="s">
        <v>6</v>
      </c>
      <c r="D42" s="170"/>
      <c r="E42" s="170"/>
      <c r="F42" s="170"/>
      <c r="G42" s="166">
        <f>ROUND(G27+G28+G29+G30+G32-G34-G35-G36-G38-G39-G40,2)</f>
        <v>0</v>
      </c>
      <c r="H42" s="167"/>
      <c r="I42" s="136"/>
      <c r="J42" s="136"/>
      <c r="K42" s="160"/>
      <c r="L42" s="160"/>
      <c r="M42" s="4"/>
      <c r="O42" s="45" t="s">
        <v>158</v>
      </c>
      <c r="P42" s="122" t="b">
        <v>0</v>
      </c>
      <c r="S42" s="79">
        <v>39</v>
      </c>
      <c r="T42" s="105"/>
      <c r="U42" s="124"/>
    </row>
    <row r="43" spans="1:21" ht="16.5" customHeight="1" x14ac:dyDescent="0.25">
      <c r="A43" s="62"/>
      <c r="B43" s="61"/>
      <c r="C43" s="165"/>
      <c r="D43" s="165"/>
      <c r="E43" s="165"/>
      <c r="F43" s="165"/>
      <c r="G43" s="136"/>
      <c r="H43" s="136"/>
      <c r="I43" s="136"/>
      <c r="J43" s="136"/>
      <c r="K43" s="160"/>
      <c r="L43" s="160"/>
      <c r="M43" s="4"/>
      <c r="O43" s="45" t="s">
        <v>40</v>
      </c>
      <c r="P43" s="71">
        <f>G44+G45</f>
        <v>0</v>
      </c>
      <c r="S43" s="79">
        <v>40</v>
      </c>
      <c r="T43" s="105"/>
      <c r="U43" s="124"/>
    </row>
    <row r="44" spans="1:21" ht="16.5" customHeight="1" x14ac:dyDescent="0.25">
      <c r="A44" s="62"/>
      <c r="B44" s="46"/>
      <c r="C44" s="163" t="s">
        <v>7</v>
      </c>
      <c r="D44" s="163"/>
      <c r="E44" s="163"/>
      <c r="F44" s="163"/>
      <c r="G44" s="144">
        <f>IF(P23,ROUND((G27+G28+G29+G30+G32-G39)*I44,2),0)</f>
        <v>0</v>
      </c>
      <c r="H44" s="145"/>
      <c r="I44" s="137">
        <v>1.4500000000000001E-2</v>
      </c>
      <c r="J44" s="137"/>
      <c r="K44" s="147" t="s">
        <v>31</v>
      </c>
      <c r="L44" s="147"/>
      <c r="M44" s="4"/>
      <c r="O44" s="45" t="s">
        <v>41</v>
      </c>
      <c r="P44" s="72">
        <v>2900</v>
      </c>
      <c r="S44" s="79">
        <v>41</v>
      </c>
      <c r="T44" s="105"/>
      <c r="U44" s="124"/>
    </row>
    <row r="45" spans="1:21" ht="16.5" customHeight="1" x14ac:dyDescent="0.25">
      <c r="A45" s="62"/>
      <c r="B45" s="46"/>
      <c r="C45" s="154" t="s">
        <v>37</v>
      </c>
      <c r="D45" s="154"/>
      <c r="E45" s="154"/>
      <c r="F45" s="154"/>
      <c r="G45" s="152"/>
      <c r="H45" s="153"/>
      <c r="I45" s="157" t="s">
        <v>21</v>
      </c>
      <c r="J45" s="157"/>
      <c r="K45" s="159" t="s">
        <v>13</v>
      </c>
      <c r="L45" s="159"/>
      <c r="M45" s="12"/>
      <c r="O45" s="45" t="s">
        <v>42</v>
      </c>
      <c r="P45" s="71">
        <f>P43-P44</f>
        <v>-2900</v>
      </c>
      <c r="S45" s="79">
        <v>42</v>
      </c>
      <c r="T45" s="105"/>
      <c r="U45" s="124"/>
    </row>
    <row r="46" spans="1:21" ht="16.5" customHeight="1" x14ac:dyDescent="0.25">
      <c r="A46" s="10"/>
      <c r="B46" s="46"/>
      <c r="C46" s="154" t="s">
        <v>22</v>
      </c>
      <c r="D46" s="154"/>
      <c r="E46" s="154"/>
      <c r="F46" s="154"/>
      <c r="G46" s="144">
        <f>IF((P43)&gt;=2900,P46*$I$46,0)</f>
        <v>0</v>
      </c>
      <c r="H46" s="145"/>
      <c r="I46" s="137">
        <v>8.9999999999999993E-3</v>
      </c>
      <c r="J46" s="137"/>
      <c r="K46" s="147" t="s">
        <v>31</v>
      </c>
      <c r="L46" s="147"/>
      <c r="M46" s="4"/>
      <c r="O46" s="45" t="s">
        <v>43</v>
      </c>
      <c r="P46" s="71">
        <f>ROUND(P45/1.45%,2)</f>
        <v>-200000</v>
      </c>
      <c r="S46" s="79">
        <v>43</v>
      </c>
      <c r="T46" s="94" t="s">
        <v>137</v>
      </c>
      <c r="U46" s="124"/>
    </row>
    <row r="47" spans="1:21" ht="16.5" customHeight="1" x14ac:dyDescent="0.25">
      <c r="A47" s="10"/>
      <c r="B47" s="46"/>
      <c r="C47" s="163" t="s">
        <v>8</v>
      </c>
      <c r="D47" s="163"/>
      <c r="E47" s="163"/>
      <c r="F47" s="163"/>
      <c r="G47" s="144">
        <f>IF(P42,ROUND(G42*22%,2),IF($P$2,G83,I83))</f>
        <v>0</v>
      </c>
      <c r="H47" s="145"/>
      <c r="I47" s="137" t="s">
        <v>9</v>
      </c>
      <c r="J47" s="137"/>
      <c r="K47" s="147" t="s">
        <v>32</v>
      </c>
      <c r="L47" s="147"/>
      <c r="M47" s="4"/>
      <c r="O47" s="45" t="s">
        <v>153</v>
      </c>
      <c r="P47" s="103" t="b">
        <f>G45&lt;0</f>
        <v>0</v>
      </c>
      <c r="S47" s="79">
        <v>44</v>
      </c>
      <c r="T47" s="105"/>
      <c r="U47" s="124"/>
    </row>
    <row r="48" spans="1:21" ht="16.5" customHeight="1" x14ac:dyDescent="0.25">
      <c r="A48" s="10"/>
      <c r="B48" s="46"/>
      <c r="C48" s="163" t="str">
        <f>IF(I13="2019 or Earlier","Additional Flat Taxes (W-4 Line 6):","Extra Withholding (W-4 Step 4C):")</f>
        <v>Extra Withholding (W-4 Step 4C):</v>
      </c>
      <c r="D48" s="163"/>
      <c r="E48" s="163"/>
      <c r="F48" s="163"/>
      <c r="G48" s="144">
        <f>IF($P$2,I16,I19)</f>
        <v>0</v>
      </c>
      <c r="H48" s="145"/>
      <c r="I48" s="146"/>
      <c r="J48" s="146"/>
      <c r="K48" s="147" t="s">
        <v>33</v>
      </c>
      <c r="L48" s="147"/>
      <c r="M48" s="4"/>
      <c r="S48" s="79">
        <v>45</v>
      </c>
      <c r="T48" s="105"/>
      <c r="U48" s="124"/>
    </row>
    <row r="49" spans="1:21" ht="16.5" customHeight="1" x14ac:dyDescent="0.25">
      <c r="A49" s="10"/>
      <c r="B49" s="46"/>
      <c r="C49" s="154" t="s">
        <v>24</v>
      </c>
      <c r="D49" s="154"/>
      <c r="E49" s="154"/>
      <c r="F49" s="154"/>
      <c r="G49" s="141"/>
      <c r="H49" s="142"/>
      <c r="I49" s="146"/>
      <c r="J49" s="146"/>
      <c r="K49" s="147" t="s">
        <v>34</v>
      </c>
      <c r="L49" s="147"/>
      <c r="M49" s="4"/>
      <c r="O49" s="45" t="s">
        <v>154</v>
      </c>
      <c r="P49" s="103" t="b">
        <f>G49&lt;0</f>
        <v>0</v>
      </c>
      <c r="S49" s="79">
        <v>46</v>
      </c>
      <c r="T49" s="105"/>
      <c r="U49" s="124"/>
    </row>
    <row r="50" spans="1:21" ht="16.5" customHeight="1" x14ac:dyDescent="0.25">
      <c r="A50" s="10"/>
      <c r="B50" s="46"/>
      <c r="C50" s="163" t="s">
        <v>10</v>
      </c>
      <c r="D50" s="163"/>
      <c r="E50" s="163"/>
      <c r="F50" s="163"/>
      <c r="G50" s="141"/>
      <c r="H50" s="142"/>
      <c r="I50" s="146"/>
      <c r="J50" s="146"/>
      <c r="K50" s="162" t="s">
        <v>35</v>
      </c>
      <c r="L50" s="162"/>
      <c r="M50" s="13"/>
      <c r="N50" s="10"/>
      <c r="O50" s="45" t="s">
        <v>155</v>
      </c>
      <c r="P50" s="103" t="b">
        <f>G50&lt;0</f>
        <v>0</v>
      </c>
      <c r="S50" s="79">
        <v>47</v>
      </c>
      <c r="T50" s="94" t="s">
        <v>137</v>
      </c>
      <c r="U50" s="124"/>
    </row>
    <row r="51" spans="1:21" ht="16.5" customHeight="1" x14ac:dyDescent="0.25">
      <c r="A51" s="10"/>
      <c r="B51" s="46"/>
      <c r="C51" s="163" t="s">
        <v>144</v>
      </c>
      <c r="D51" s="163"/>
      <c r="E51" s="163"/>
      <c r="F51" s="163"/>
      <c r="G51" s="144">
        <f>G32</f>
        <v>0</v>
      </c>
      <c r="H51" s="145"/>
      <c r="I51" s="146"/>
      <c r="J51" s="146"/>
      <c r="K51" s="147" t="s">
        <v>25</v>
      </c>
      <c r="L51" s="147"/>
      <c r="M51" s="4"/>
      <c r="N51" s="10"/>
      <c r="S51" s="79">
        <v>48</v>
      </c>
      <c r="T51" s="94" t="s">
        <v>137</v>
      </c>
      <c r="U51" s="124"/>
    </row>
    <row r="52" spans="1:21" ht="16.5" customHeight="1" x14ac:dyDescent="0.25">
      <c r="A52" s="10"/>
      <c r="B52" s="46"/>
      <c r="C52" s="163" t="s">
        <v>11</v>
      </c>
      <c r="D52" s="163"/>
      <c r="E52" s="163"/>
      <c r="F52" s="163"/>
      <c r="G52" s="141"/>
      <c r="H52" s="142"/>
      <c r="I52" s="146"/>
      <c r="J52" s="146"/>
      <c r="K52" s="161" t="s">
        <v>36</v>
      </c>
      <c r="L52" s="161"/>
      <c r="M52" s="14"/>
      <c r="N52" s="10"/>
      <c r="O52" s="45" t="s">
        <v>156</v>
      </c>
      <c r="P52" s="103" t="b">
        <f>G52&lt;0</f>
        <v>0</v>
      </c>
      <c r="S52" s="79">
        <v>49</v>
      </c>
      <c r="T52" s="105"/>
      <c r="U52" s="124"/>
    </row>
    <row r="53" spans="1:21" ht="16.5" customHeight="1" x14ac:dyDescent="0.25">
      <c r="A53" s="10"/>
      <c r="B53" s="46"/>
      <c r="C53" s="163" t="s">
        <v>12</v>
      </c>
      <c r="D53" s="163"/>
      <c r="E53" s="163"/>
      <c r="F53" s="163"/>
      <c r="G53" s="141"/>
      <c r="H53" s="142"/>
      <c r="I53" s="146"/>
      <c r="J53" s="146"/>
      <c r="K53" s="158"/>
      <c r="L53" s="158"/>
      <c r="M53" s="4"/>
      <c r="O53" s="45" t="s">
        <v>157</v>
      </c>
      <c r="P53" s="103" t="b">
        <f>G53&lt;0</f>
        <v>0</v>
      </c>
      <c r="S53" s="79">
        <v>50</v>
      </c>
      <c r="T53" s="94" t="s">
        <v>137</v>
      </c>
      <c r="U53" s="124"/>
    </row>
    <row r="54" spans="1:21" ht="7.5" customHeight="1" x14ac:dyDescent="0.25">
      <c r="A54" s="10"/>
      <c r="B54" s="46"/>
      <c r="C54" s="163"/>
      <c r="D54" s="163"/>
      <c r="E54" s="163"/>
      <c r="F54" s="163"/>
      <c r="G54" s="136"/>
      <c r="H54" s="136"/>
      <c r="I54" s="136"/>
      <c r="J54" s="136"/>
      <c r="K54" s="160"/>
      <c r="L54" s="160"/>
      <c r="M54" s="4"/>
      <c r="S54" s="79">
        <v>51</v>
      </c>
      <c r="T54" s="94" t="s">
        <v>137</v>
      </c>
      <c r="U54" s="125"/>
    </row>
    <row r="55" spans="1:21" ht="16.5" customHeight="1" x14ac:dyDescent="0.3">
      <c r="A55" s="10"/>
      <c r="B55" s="46"/>
      <c r="C55" s="170" t="s">
        <v>15</v>
      </c>
      <c r="D55" s="170"/>
      <c r="E55" s="170"/>
      <c r="F55" s="170"/>
      <c r="G55" s="166">
        <f>IF($P$20,"REVIEW ERRORS",ROUND(G42+G31-G44-G46-G47-G48-G49-G50-G51-G52-G53,2))</f>
        <v>0</v>
      </c>
      <c r="H55" s="167"/>
      <c r="I55" s="136"/>
      <c r="J55" s="136"/>
      <c r="K55" s="160"/>
      <c r="L55" s="160"/>
      <c r="M55" s="4"/>
      <c r="S55" s="79">
        <v>52</v>
      </c>
    </row>
    <row r="56" spans="1:21" ht="7.5" customHeight="1" x14ac:dyDescent="0.3">
      <c r="A56" s="10"/>
      <c r="B56" s="46"/>
      <c r="C56" s="10"/>
      <c r="D56" s="10"/>
      <c r="E56" s="10"/>
      <c r="F56" s="7"/>
      <c r="G56" s="7"/>
      <c r="H56" s="2"/>
      <c r="I56" s="2"/>
      <c r="J56" s="10"/>
      <c r="K56" s="10"/>
      <c r="L56" s="18"/>
      <c r="M56" s="4"/>
      <c r="S56" s="79">
        <v>53</v>
      </c>
    </row>
    <row r="57" spans="1:21" ht="16.5" customHeight="1" thickBot="1" x14ac:dyDescent="0.3">
      <c r="A57" s="10"/>
      <c r="B57" s="102"/>
      <c r="C57" s="171" t="s">
        <v>38</v>
      </c>
      <c r="D57" s="171"/>
      <c r="E57" s="171"/>
      <c r="F57" s="171"/>
      <c r="G57" s="171"/>
      <c r="H57" s="171"/>
      <c r="I57" s="171"/>
      <c r="J57" s="171"/>
      <c r="K57" s="171"/>
      <c r="L57" s="171"/>
      <c r="M57" s="101"/>
      <c r="S57" s="79">
        <v>54</v>
      </c>
    </row>
    <row r="58" spans="1:21" ht="16.5" customHeight="1" thickTop="1" x14ac:dyDescent="0.25">
      <c r="A58" s="10"/>
      <c r="B58" s="10"/>
      <c r="C58" s="10"/>
      <c r="D58" s="10"/>
      <c r="E58" s="10"/>
      <c r="F58" s="10"/>
      <c r="G58" s="10"/>
      <c r="H58" s="10"/>
      <c r="I58" s="10"/>
      <c r="J58" s="10"/>
      <c r="K58" s="10"/>
      <c r="L58" s="18"/>
      <c r="M58" s="18"/>
      <c r="S58" s="79">
        <v>55</v>
      </c>
    </row>
    <row r="59" spans="1:21" ht="16.5" hidden="1" customHeight="1" x14ac:dyDescent="0.25">
      <c r="A59" s="220" t="s">
        <v>152</v>
      </c>
      <c r="B59" s="221"/>
      <c r="C59" s="221"/>
      <c r="D59" s="221"/>
      <c r="E59" s="221"/>
      <c r="F59" s="222"/>
      <c r="G59" s="147" t="s">
        <v>67</v>
      </c>
      <c r="H59" s="147"/>
      <c r="I59" s="147" t="s">
        <v>68</v>
      </c>
      <c r="J59" s="147"/>
      <c r="L59" s="32"/>
      <c r="M59" s="18"/>
      <c r="S59" s="79">
        <v>56</v>
      </c>
    </row>
    <row r="60" spans="1:21" ht="16.5" hidden="1" customHeight="1" x14ac:dyDescent="0.25">
      <c r="A60" s="181" t="s">
        <v>74</v>
      </c>
      <c r="B60" s="182"/>
      <c r="C60" s="189" t="s">
        <v>100</v>
      </c>
      <c r="D60" s="189"/>
      <c r="E60" s="189"/>
      <c r="F60" s="189"/>
      <c r="G60" s="183">
        <f>$G$42</f>
        <v>0</v>
      </c>
      <c r="H60" s="184"/>
      <c r="I60" s="172">
        <f>$G$42</f>
        <v>0</v>
      </c>
      <c r="J60" s="173"/>
      <c r="L60" s="32"/>
      <c r="M60" s="18"/>
      <c r="S60" s="79">
        <v>57</v>
      </c>
    </row>
    <row r="61" spans="1:21" ht="16.5" hidden="1" customHeight="1" x14ac:dyDescent="0.25">
      <c r="A61" s="181" t="s">
        <v>75</v>
      </c>
      <c r="B61" s="182"/>
      <c r="C61" s="180" t="s">
        <v>101</v>
      </c>
      <c r="D61" s="180"/>
      <c r="E61" s="180"/>
      <c r="F61" s="180"/>
      <c r="G61" s="174">
        <v>26</v>
      </c>
      <c r="H61" s="175"/>
      <c r="I61" s="176">
        <v>26</v>
      </c>
      <c r="J61" s="177"/>
      <c r="L61" s="32"/>
      <c r="M61" s="18"/>
      <c r="N61" s="10"/>
      <c r="S61" s="79">
        <v>58</v>
      </c>
    </row>
    <row r="62" spans="1:21" ht="16.5" hidden="1" customHeight="1" x14ac:dyDescent="0.25">
      <c r="A62" s="181" t="s">
        <v>76</v>
      </c>
      <c r="B62" s="182"/>
      <c r="C62" s="180" t="s">
        <v>102</v>
      </c>
      <c r="D62" s="180"/>
      <c r="E62" s="180"/>
      <c r="F62" s="180"/>
      <c r="G62" s="183">
        <f>ROUND(G60*G61,2)</f>
        <v>0</v>
      </c>
      <c r="H62" s="184"/>
      <c r="I62" s="172">
        <f>ROUND(I60*I61,2)</f>
        <v>0</v>
      </c>
      <c r="J62" s="173"/>
      <c r="L62" s="32"/>
      <c r="M62" s="18"/>
      <c r="N62" s="10"/>
      <c r="O62" s="51" t="s">
        <v>13</v>
      </c>
      <c r="S62" s="79">
        <v>59</v>
      </c>
    </row>
    <row r="63" spans="1:21" ht="16.5" hidden="1" customHeight="1" x14ac:dyDescent="0.25">
      <c r="A63" s="168" t="s">
        <v>77</v>
      </c>
      <c r="B63" s="169"/>
      <c r="C63" s="180" t="s">
        <v>103</v>
      </c>
      <c r="D63" s="180"/>
      <c r="E63" s="180"/>
      <c r="F63" s="180"/>
      <c r="G63" s="190"/>
      <c r="H63" s="191"/>
      <c r="I63" s="186">
        <f>I17</f>
        <v>0</v>
      </c>
      <c r="J63" s="177"/>
      <c r="L63" s="32" t="s">
        <v>13</v>
      </c>
      <c r="M63" s="18"/>
      <c r="N63" s="10"/>
      <c r="S63" s="79">
        <v>60</v>
      </c>
    </row>
    <row r="64" spans="1:21" ht="16.5" hidden="1" customHeight="1" x14ac:dyDescent="0.25">
      <c r="A64" s="168" t="s">
        <v>78</v>
      </c>
      <c r="B64" s="169"/>
      <c r="C64" s="180" t="s">
        <v>104</v>
      </c>
      <c r="D64" s="180"/>
      <c r="E64" s="180"/>
      <c r="F64" s="180"/>
      <c r="G64" s="190"/>
      <c r="H64" s="191"/>
      <c r="I64" s="186">
        <f>I62+I63</f>
        <v>0</v>
      </c>
      <c r="J64" s="177"/>
      <c r="L64" s="32"/>
      <c r="M64" s="18"/>
      <c r="N64" s="10"/>
      <c r="S64" s="79">
        <v>61</v>
      </c>
    </row>
    <row r="65" spans="1:19" ht="16.5" hidden="1" customHeight="1" x14ac:dyDescent="0.25">
      <c r="A65" s="168" t="s">
        <v>79</v>
      </c>
      <c r="B65" s="169"/>
      <c r="C65" s="180" t="s">
        <v>105</v>
      </c>
      <c r="D65" s="180"/>
      <c r="E65" s="180"/>
      <c r="F65" s="180"/>
      <c r="G65" s="190"/>
      <c r="H65" s="191"/>
      <c r="I65" s="186">
        <f>R11</f>
        <v>0</v>
      </c>
      <c r="J65" s="177"/>
      <c r="L65" s="32"/>
      <c r="M65" s="18"/>
      <c r="S65" s="79">
        <v>62</v>
      </c>
    </row>
    <row r="66" spans="1:19" ht="16.5" hidden="1" customHeight="1" x14ac:dyDescent="0.25">
      <c r="A66" s="168" t="s">
        <v>80</v>
      </c>
      <c r="B66" s="169"/>
      <c r="C66" s="180" t="s">
        <v>117</v>
      </c>
      <c r="D66" s="180"/>
      <c r="E66" s="180"/>
      <c r="F66" s="180"/>
      <c r="G66" s="190"/>
      <c r="H66" s="191"/>
      <c r="I66" s="186">
        <f>IF($R$7,0,IF($R$6,IF($R$4,12900,8600)))</f>
        <v>8600</v>
      </c>
      <c r="J66" s="177"/>
      <c r="L66" s="32"/>
      <c r="M66" s="18"/>
      <c r="N66" s="10"/>
      <c r="O66" s="51" t="s">
        <v>13</v>
      </c>
      <c r="S66" s="79">
        <v>63</v>
      </c>
    </row>
    <row r="67" spans="1:19" ht="16.5" hidden="1" customHeight="1" x14ac:dyDescent="0.25">
      <c r="A67" s="168" t="s">
        <v>81</v>
      </c>
      <c r="B67" s="169"/>
      <c r="C67" s="180" t="s">
        <v>106</v>
      </c>
      <c r="D67" s="180"/>
      <c r="E67" s="180"/>
      <c r="F67" s="180"/>
      <c r="G67" s="190"/>
      <c r="H67" s="191"/>
      <c r="I67" s="186">
        <f>I65+I66</f>
        <v>8600</v>
      </c>
      <c r="J67" s="177"/>
      <c r="L67" s="32" t="s">
        <v>13</v>
      </c>
      <c r="M67" s="18"/>
      <c r="N67" s="10"/>
      <c r="S67" s="79">
        <v>64</v>
      </c>
    </row>
    <row r="68" spans="1:19" ht="16.5" hidden="1" customHeight="1" x14ac:dyDescent="0.25">
      <c r="A68" s="168" t="s">
        <v>82</v>
      </c>
      <c r="B68" s="169"/>
      <c r="C68" s="180" t="s">
        <v>119</v>
      </c>
      <c r="D68" s="180"/>
      <c r="E68" s="180"/>
      <c r="F68" s="180"/>
      <c r="G68" s="190"/>
      <c r="H68" s="191"/>
      <c r="I68" s="186">
        <f>IF(I64-I67&lt;0,0,I64-I67)</f>
        <v>0</v>
      </c>
      <c r="J68" s="177"/>
      <c r="L68" s="32"/>
      <c r="M68" s="18"/>
      <c r="N68" s="10"/>
      <c r="S68" s="79">
        <v>65</v>
      </c>
    </row>
    <row r="69" spans="1:19" ht="16.5" hidden="1" customHeight="1" x14ac:dyDescent="0.25">
      <c r="A69" s="178" t="s">
        <v>83</v>
      </c>
      <c r="B69" s="179"/>
      <c r="C69" s="180" t="s">
        <v>107</v>
      </c>
      <c r="D69" s="180"/>
      <c r="E69" s="180"/>
      <c r="F69" s="180"/>
      <c r="G69" s="227">
        <f>P10</f>
        <v>0</v>
      </c>
      <c r="H69" s="175"/>
      <c r="I69" s="190"/>
      <c r="J69" s="191"/>
      <c r="L69" s="32"/>
      <c r="M69" s="18"/>
      <c r="S69" s="79">
        <v>66</v>
      </c>
    </row>
    <row r="70" spans="1:19" ht="16.5" hidden="1" customHeight="1" x14ac:dyDescent="0.25">
      <c r="A70" s="178" t="s">
        <v>84</v>
      </c>
      <c r="B70" s="179"/>
      <c r="C70" s="180" t="s">
        <v>116</v>
      </c>
      <c r="D70" s="180"/>
      <c r="E70" s="180"/>
      <c r="F70" s="180"/>
      <c r="G70" s="183">
        <f>G69*4300</f>
        <v>0</v>
      </c>
      <c r="H70" s="184"/>
      <c r="I70" s="190"/>
      <c r="J70" s="191"/>
      <c r="L70" s="32"/>
      <c r="M70" s="18"/>
      <c r="N70" s="10"/>
      <c r="O70" s="51" t="s">
        <v>13</v>
      </c>
      <c r="S70" s="79">
        <v>67</v>
      </c>
    </row>
    <row r="71" spans="1:19" ht="16.5" hidden="1" customHeight="1" x14ac:dyDescent="0.25">
      <c r="A71" s="178" t="s">
        <v>85</v>
      </c>
      <c r="B71" s="179"/>
      <c r="C71" s="180" t="s">
        <v>120</v>
      </c>
      <c r="D71" s="180"/>
      <c r="E71" s="180"/>
      <c r="F71" s="180"/>
      <c r="G71" s="183">
        <f>IF(G62-G70&lt;0,0,G62-G70)</f>
        <v>0</v>
      </c>
      <c r="H71" s="184"/>
      <c r="I71" s="190"/>
      <c r="J71" s="191"/>
      <c r="L71" s="32" t="s">
        <v>13</v>
      </c>
      <c r="M71" s="18"/>
      <c r="N71" s="10"/>
      <c r="S71" s="79">
        <v>68</v>
      </c>
    </row>
    <row r="72" spans="1:19" ht="16.5" hidden="1" customHeight="1" x14ac:dyDescent="0.25">
      <c r="A72" s="181" t="s">
        <v>86</v>
      </c>
      <c r="B72" s="182"/>
      <c r="C72" s="180" t="s">
        <v>108</v>
      </c>
      <c r="D72" s="180"/>
      <c r="E72" s="180"/>
      <c r="F72" s="180"/>
      <c r="G72" s="185">
        <f>$G$71</f>
        <v>0</v>
      </c>
      <c r="H72" s="175"/>
      <c r="I72" s="186">
        <f>$I$68</f>
        <v>0</v>
      </c>
      <c r="J72" s="177"/>
      <c r="L72" s="32"/>
      <c r="M72" s="18"/>
      <c r="N72" s="10"/>
      <c r="S72" s="79">
        <v>69</v>
      </c>
    </row>
    <row r="73" spans="1:19" ht="16.5" hidden="1" customHeight="1" x14ac:dyDescent="0.25">
      <c r="A73" s="181" t="s">
        <v>87</v>
      </c>
      <c r="B73" s="182"/>
      <c r="C73" s="180" t="s">
        <v>109</v>
      </c>
      <c r="D73" s="180"/>
      <c r="E73" s="180"/>
      <c r="F73" s="180"/>
      <c r="G73" s="187" t="b">
        <f>IF($P$2,IF($P$4,VLOOKUP($G$72,$D$90:$F$98,1),IF(OR($P$3,$P$5),VLOOKUP($G$72,$D$102:$F$110,1),0)))</f>
        <v>0</v>
      </c>
      <c r="H73" s="188"/>
      <c r="I73" s="186">
        <f>IF($R$2,IF($R$6,IF($R$3,VLOOKUP($I$72,$D$114:$F$122,1),IF($R$4,VLOOKUP($I$72,$D$90:$F$98,1),IF($R$5,VLOOKUP($I$72,$D$102:$F$110,1)))),IF($R$7,IF($R$3,VLOOKUP($I$72,$H$114:$J$122,1),IF($R$4,VLOOKUP($I$72,$H$90:$J$98,1),IF($R$5,VLOOKUP($I$72,$H$102:$J$110,1)))))))</f>
        <v>0</v>
      </c>
      <c r="J73" s="177"/>
      <c r="L73" s="32"/>
      <c r="M73" s="18"/>
      <c r="N73" s="10"/>
      <c r="S73" s="79">
        <v>70</v>
      </c>
    </row>
    <row r="74" spans="1:19" ht="16.5" hidden="1" customHeight="1" x14ac:dyDescent="0.25">
      <c r="A74" s="181" t="s">
        <v>88</v>
      </c>
      <c r="B74" s="182"/>
      <c r="C74" s="180" t="s">
        <v>110</v>
      </c>
      <c r="D74" s="180"/>
      <c r="E74" s="180"/>
      <c r="F74" s="180"/>
      <c r="G74" s="187" t="b">
        <f>IF($P$2,IF($P$4,VLOOKUP($G$72,$D$90:$F$98,2),IF(OR($P$3,$P$5),VLOOKUP($G$72,$D$102:$F$110,2),0)))</f>
        <v>0</v>
      </c>
      <c r="H74" s="188"/>
      <c r="I74" s="186">
        <f>IF($R$2,IF($R$6,IF($R$3,VLOOKUP($I$72,$D$114:$F$122,2),IF($R$4,VLOOKUP($I$72,$D$90:$F$98,2),IF($R$5,VLOOKUP($I$72,$D$102:$F$110,2)))),IF($R$7,IF($R$3,VLOOKUP($I$72,$H$114:$J$122,2),IF($R$4,VLOOKUP($I$72,$H$90:$J$98,2),IF($R$5,VLOOKUP($I$72,$H$102:$J$110,2)))))))</f>
        <v>0</v>
      </c>
      <c r="J74" s="177"/>
      <c r="L74" s="32"/>
      <c r="M74" s="18"/>
      <c r="N74" s="10"/>
      <c r="O74" s="51" t="s">
        <v>13</v>
      </c>
      <c r="S74" s="79">
        <v>71</v>
      </c>
    </row>
    <row r="75" spans="1:19" ht="16.5" hidden="1" customHeight="1" x14ac:dyDescent="0.25">
      <c r="A75" s="181" t="s">
        <v>89</v>
      </c>
      <c r="B75" s="182"/>
      <c r="C75" s="180" t="s">
        <v>111</v>
      </c>
      <c r="D75" s="180"/>
      <c r="E75" s="180"/>
      <c r="F75" s="180"/>
      <c r="G75" s="187" t="b">
        <f>IF($P$2,IF($P$4,VLOOKUP($G$72,$D$90:$F$98,3),IF(OR($P$3,$P$5),VLOOKUP($G$72,$D$102:$F$110,3),0)))</f>
        <v>0</v>
      </c>
      <c r="H75" s="188"/>
      <c r="I75" s="186">
        <f>IF($R$2,IF($R$6,IF($R$3,VLOOKUP($I$72,$D$114:$F$122,3),IF($R$4,VLOOKUP($I$72,$D$90:$F$98,3),IF($R$5,VLOOKUP($I$72,$D$102:$F$110,3)))),IF($R$7,IF($R$3,VLOOKUP($I$72,$H$114:$J$122,3),IF($R$4,VLOOKUP($I$72,$H$90:$J$98,3),IF($R$5,VLOOKUP($I$72,$H$102:$J$110,3)))))))</f>
        <v>0</v>
      </c>
      <c r="J75" s="177"/>
      <c r="L75" s="32" t="s">
        <v>13</v>
      </c>
      <c r="M75" s="18"/>
      <c r="N75" s="10"/>
      <c r="S75" s="79">
        <v>72</v>
      </c>
    </row>
    <row r="76" spans="1:19" ht="16.5" hidden="1" customHeight="1" x14ac:dyDescent="0.25">
      <c r="A76" s="181" t="s">
        <v>90</v>
      </c>
      <c r="B76" s="182"/>
      <c r="C76" s="180" t="s">
        <v>112</v>
      </c>
      <c r="D76" s="180"/>
      <c r="E76" s="180"/>
      <c r="F76" s="180"/>
      <c r="G76" s="185">
        <f>G72-G73</f>
        <v>0</v>
      </c>
      <c r="H76" s="175"/>
      <c r="I76" s="186">
        <f>I72-I73</f>
        <v>0</v>
      </c>
      <c r="J76" s="177"/>
      <c r="L76" s="32"/>
      <c r="M76" s="18"/>
      <c r="N76" s="10"/>
      <c r="S76" s="79">
        <v>73</v>
      </c>
    </row>
    <row r="77" spans="1:19" ht="16.5" hidden="1" customHeight="1" x14ac:dyDescent="0.25">
      <c r="A77" s="181" t="s">
        <v>91</v>
      </c>
      <c r="B77" s="182"/>
      <c r="C77" s="180" t="s">
        <v>113</v>
      </c>
      <c r="D77" s="180"/>
      <c r="E77" s="180"/>
      <c r="F77" s="180"/>
      <c r="G77" s="185">
        <f>ROUND(G76*G75,2)</f>
        <v>0</v>
      </c>
      <c r="H77" s="175"/>
      <c r="I77" s="186">
        <f>ROUND(I76*I75,2)</f>
        <v>0</v>
      </c>
      <c r="J77" s="177"/>
      <c r="L77" s="32"/>
      <c r="M77" s="18"/>
      <c r="S77" s="79">
        <v>74</v>
      </c>
    </row>
    <row r="78" spans="1:19" ht="16.5" hidden="1" customHeight="1" x14ac:dyDescent="0.25">
      <c r="A78" s="181" t="s">
        <v>92</v>
      </c>
      <c r="B78" s="182"/>
      <c r="C78" s="180" t="s">
        <v>114</v>
      </c>
      <c r="D78" s="180"/>
      <c r="E78" s="180"/>
      <c r="F78" s="180"/>
      <c r="G78" s="185">
        <f>G74+G77</f>
        <v>0</v>
      </c>
      <c r="H78" s="175"/>
      <c r="I78" s="186">
        <f>I74+I77</f>
        <v>0</v>
      </c>
      <c r="J78" s="177"/>
      <c r="L78" s="32"/>
      <c r="M78" s="18"/>
      <c r="N78" s="10"/>
      <c r="O78" s="51" t="s">
        <v>13</v>
      </c>
      <c r="S78" s="79">
        <v>75</v>
      </c>
    </row>
    <row r="79" spans="1:19" ht="16.5" hidden="1" customHeight="1" x14ac:dyDescent="0.25">
      <c r="A79" s="181" t="s">
        <v>93</v>
      </c>
      <c r="B79" s="182"/>
      <c r="C79" s="180" t="s">
        <v>139</v>
      </c>
      <c r="D79" s="180"/>
      <c r="E79" s="180"/>
      <c r="F79" s="180"/>
      <c r="G79" s="185">
        <f>ROUND(G78/G61,2)</f>
        <v>0</v>
      </c>
      <c r="H79" s="175"/>
      <c r="I79" s="186">
        <f>ROUND(I78/I61,2)</f>
        <v>0</v>
      </c>
      <c r="J79" s="177"/>
      <c r="L79" s="32" t="s">
        <v>13</v>
      </c>
      <c r="M79" s="18"/>
      <c r="N79" s="10"/>
      <c r="S79" s="79">
        <v>76</v>
      </c>
    </row>
    <row r="80" spans="1:19" ht="16.5" hidden="1" customHeight="1" x14ac:dyDescent="0.25">
      <c r="A80" s="168" t="s">
        <v>94</v>
      </c>
      <c r="B80" s="169"/>
      <c r="C80" s="180" t="s">
        <v>118</v>
      </c>
      <c r="D80" s="180"/>
      <c r="E80" s="180"/>
      <c r="F80" s="180"/>
      <c r="G80" s="225"/>
      <c r="H80" s="191"/>
      <c r="I80" s="186">
        <f>R9</f>
        <v>0</v>
      </c>
      <c r="J80" s="177"/>
      <c r="L80" s="32"/>
      <c r="M80" s="18"/>
      <c r="N80" s="10"/>
      <c r="S80" s="79">
        <v>77</v>
      </c>
    </row>
    <row r="81" spans="1:19" ht="16.5" hidden="1" customHeight="1" x14ac:dyDescent="0.25">
      <c r="A81" s="168" t="s">
        <v>95</v>
      </c>
      <c r="B81" s="169"/>
      <c r="C81" s="180" t="s">
        <v>140</v>
      </c>
      <c r="D81" s="180"/>
      <c r="E81" s="180"/>
      <c r="F81" s="180"/>
      <c r="G81" s="225"/>
      <c r="H81" s="191"/>
      <c r="I81" s="186">
        <f>ROUND(I80/I61,2)</f>
        <v>0</v>
      </c>
      <c r="J81" s="226"/>
      <c r="L81" s="32"/>
      <c r="M81" s="18"/>
      <c r="S81" s="79">
        <v>78</v>
      </c>
    </row>
    <row r="82" spans="1:19" ht="16.5" hidden="1" customHeight="1" x14ac:dyDescent="0.25">
      <c r="A82" s="168" t="s">
        <v>96</v>
      </c>
      <c r="B82" s="169"/>
      <c r="C82" s="180" t="s">
        <v>121</v>
      </c>
      <c r="D82" s="180"/>
      <c r="E82" s="180"/>
      <c r="F82" s="180"/>
      <c r="G82" s="225"/>
      <c r="H82" s="191"/>
      <c r="I82" s="186">
        <f>IF(I79-I81&lt;0,0,I79-I81)</f>
        <v>0</v>
      </c>
      <c r="J82" s="177"/>
      <c r="L82" s="32"/>
      <c r="M82" s="18"/>
      <c r="N82" s="10"/>
      <c r="O82" s="51" t="s">
        <v>13</v>
      </c>
      <c r="S82" s="79">
        <v>79</v>
      </c>
    </row>
    <row r="83" spans="1:19" ht="16.5" hidden="1" customHeight="1" x14ac:dyDescent="0.25">
      <c r="A83" s="217" t="s">
        <v>115</v>
      </c>
      <c r="B83" s="218"/>
      <c r="C83" s="218"/>
      <c r="D83" s="218"/>
      <c r="E83" s="218"/>
      <c r="F83" s="219"/>
      <c r="G83" s="223">
        <f>IF($P$20,"REVIEW ERRORS",G79)</f>
        <v>0</v>
      </c>
      <c r="H83" s="224"/>
      <c r="I83" s="223">
        <f>IF($P$20,"REVIEW ERRORS",I82)</f>
        <v>0</v>
      </c>
      <c r="J83" s="224"/>
      <c r="L83" s="32" t="s">
        <v>13</v>
      </c>
      <c r="M83" s="18"/>
      <c r="N83" s="10"/>
      <c r="S83" s="79">
        <v>80</v>
      </c>
    </row>
    <row r="84" spans="1:19" ht="16.5" hidden="1" customHeight="1" thickBot="1" x14ac:dyDescent="0.3">
      <c r="A84" s="10"/>
      <c r="L84" s="32"/>
      <c r="M84" s="18"/>
      <c r="N84" s="10"/>
      <c r="S84" s="79">
        <v>81</v>
      </c>
    </row>
    <row r="85" spans="1:19" ht="16.5" hidden="1" customHeight="1" x14ac:dyDescent="0.25">
      <c r="A85" s="10"/>
      <c r="B85" s="228" t="s">
        <v>145</v>
      </c>
      <c r="C85" s="229"/>
      <c r="D85" s="229"/>
      <c r="E85" s="229"/>
      <c r="F85" s="230"/>
      <c r="G85" s="234" t="s">
        <v>146</v>
      </c>
      <c r="H85" s="235"/>
      <c r="I85" s="235"/>
      <c r="J85" s="236"/>
      <c r="L85" s="108"/>
      <c r="M85" s="18"/>
      <c r="S85" s="79">
        <v>82</v>
      </c>
    </row>
    <row r="86" spans="1:19" ht="16.5" hidden="1" customHeight="1" thickBot="1" x14ac:dyDescent="0.3">
      <c r="A86" s="10"/>
      <c r="B86" s="231"/>
      <c r="C86" s="232"/>
      <c r="D86" s="232"/>
      <c r="E86" s="232"/>
      <c r="F86" s="233"/>
      <c r="G86" s="237"/>
      <c r="H86" s="238"/>
      <c r="I86" s="238"/>
      <c r="J86" s="239"/>
      <c r="K86" s="108"/>
      <c r="M86" s="18"/>
      <c r="S86" s="79">
        <v>83</v>
      </c>
    </row>
    <row r="87" spans="1:19" ht="16.5" hidden="1" customHeight="1" x14ac:dyDescent="0.25">
      <c r="A87" s="10"/>
      <c r="B87" s="240" t="s">
        <v>69</v>
      </c>
      <c r="C87" s="241"/>
      <c r="D87" s="244" t="s">
        <v>46</v>
      </c>
      <c r="E87" s="244"/>
      <c r="F87" s="244"/>
      <c r="G87" s="107"/>
      <c r="H87" s="63"/>
      <c r="I87" s="63"/>
      <c r="J87" s="64"/>
      <c r="M87" s="19"/>
      <c r="S87" s="79">
        <v>84</v>
      </c>
    </row>
    <row r="88" spans="1:19" ht="16.5" hidden="1" customHeight="1" thickBot="1" x14ac:dyDescent="0.3">
      <c r="B88" s="242" t="s">
        <v>70</v>
      </c>
      <c r="C88" s="243"/>
      <c r="D88" s="245" t="s">
        <v>71</v>
      </c>
      <c r="E88" s="245"/>
      <c r="F88" s="245"/>
      <c r="G88" s="106" t="s">
        <v>70</v>
      </c>
      <c r="H88" s="245" t="s">
        <v>71</v>
      </c>
      <c r="I88" s="245"/>
      <c r="J88" s="246"/>
      <c r="M88" s="19"/>
      <c r="N88" s="51"/>
      <c r="O88" s="19"/>
      <c r="S88" s="79">
        <v>85</v>
      </c>
    </row>
    <row r="89" spans="1:19" ht="16.5" hidden="1" customHeight="1" thickBot="1" x14ac:dyDescent="0.3">
      <c r="B89" s="114"/>
      <c r="C89" s="117"/>
      <c r="D89" s="40" t="s">
        <v>97</v>
      </c>
      <c r="E89" s="40" t="s">
        <v>98</v>
      </c>
      <c r="F89" s="65" t="s">
        <v>99</v>
      </c>
      <c r="G89" s="115"/>
      <c r="H89" s="40" t="s">
        <v>97</v>
      </c>
      <c r="I89" s="40" t="s">
        <v>98</v>
      </c>
      <c r="J89" s="65" t="s">
        <v>99</v>
      </c>
      <c r="M89" s="19"/>
      <c r="N89" s="51"/>
      <c r="O89" s="19"/>
      <c r="S89" s="79">
        <v>86</v>
      </c>
    </row>
    <row r="90" spans="1:19" ht="16.5" hidden="1" customHeight="1" x14ac:dyDescent="0.25">
      <c r="B90" s="114"/>
      <c r="C90" s="117"/>
      <c r="D90" s="109">
        <v>0</v>
      </c>
      <c r="E90" s="95">
        <v>0</v>
      </c>
      <c r="F90" s="96">
        <v>0</v>
      </c>
      <c r="G90" s="115"/>
      <c r="H90" s="109">
        <v>0</v>
      </c>
      <c r="I90" s="95">
        <v>0</v>
      </c>
      <c r="J90" s="96">
        <v>0</v>
      </c>
      <c r="M90" s="19"/>
      <c r="N90" s="51"/>
      <c r="O90" s="19"/>
      <c r="S90" s="79">
        <v>87</v>
      </c>
    </row>
    <row r="91" spans="1:19" ht="16.5" hidden="1" customHeight="1" x14ac:dyDescent="0.25">
      <c r="B91" s="114"/>
      <c r="C91" s="117"/>
      <c r="D91" s="110">
        <f>D92-0.01</f>
        <v>12999.99</v>
      </c>
      <c r="E91" s="97">
        <v>0</v>
      </c>
      <c r="F91" s="98">
        <v>0</v>
      </c>
      <c r="G91" s="115"/>
      <c r="H91" s="110">
        <f>H92-0.01</f>
        <v>12949.99</v>
      </c>
      <c r="I91" s="97">
        <v>0</v>
      </c>
      <c r="J91" s="98">
        <v>0</v>
      </c>
      <c r="M91" s="19"/>
      <c r="N91" s="51"/>
      <c r="O91" s="19"/>
      <c r="S91" s="79">
        <v>88</v>
      </c>
    </row>
    <row r="92" spans="1:19" ht="16.5" hidden="1" customHeight="1" x14ac:dyDescent="0.25">
      <c r="B92" s="114"/>
      <c r="C92" s="117"/>
      <c r="D92" s="110">
        <v>13000</v>
      </c>
      <c r="E92" s="97">
        <v>0</v>
      </c>
      <c r="F92" s="98">
        <v>0.1</v>
      </c>
      <c r="G92" s="115"/>
      <c r="H92" s="110">
        <v>12950</v>
      </c>
      <c r="I92" s="97">
        <v>0</v>
      </c>
      <c r="J92" s="98">
        <v>0.1</v>
      </c>
      <c r="M92" s="19"/>
      <c r="N92" s="51"/>
      <c r="O92" s="19"/>
      <c r="S92" s="79">
        <v>89</v>
      </c>
    </row>
    <row r="93" spans="1:19" ht="16.5" hidden="1" customHeight="1" x14ac:dyDescent="0.25">
      <c r="B93" s="114"/>
      <c r="C93" s="117"/>
      <c r="D93" s="110">
        <v>33550</v>
      </c>
      <c r="E93" s="97">
        <v>2055</v>
      </c>
      <c r="F93" s="98">
        <v>0.12</v>
      </c>
      <c r="G93" s="115"/>
      <c r="H93" s="110">
        <v>23225</v>
      </c>
      <c r="I93" s="97">
        <v>1027.5</v>
      </c>
      <c r="J93" s="98">
        <v>0.12</v>
      </c>
      <c r="M93" s="19"/>
      <c r="N93" s="51"/>
      <c r="O93" s="19"/>
      <c r="S93" s="79">
        <v>90</v>
      </c>
    </row>
    <row r="94" spans="1:19" ht="16.5" hidden="1" customHeight="1" x14ac:dyDescent="0.25">
      <c r="B94" s="114"/>
      <c r="C94" s="117"/>
      <c r="D94" s="110">
        <v>96550</v>
      </c>
      <c r="E94" s="97">
        <v>9615</v>
      </c>
      <c r="F94" s="98">
        <v>0.22</v>
      </c>
      <c r="G94" s="115"/>
      <c r="H94" s="110">
        <v>54725</v>
      </c>
      <c r="I94" s="97">
        <v>4807.5</v>
      </c>
      <c r="J94" s="98">
        <v>0.22</v>
      </c>
      <c r="M94" s="19"/>
      <c r="N94" s="51"/>
      <c r="O94" s="19"/>
      <c r="S94" s="79">
        <v>91</v>
      </c>
    </row>
    <row r="95" spans="1:19" ht="16.5" hidden="1" customHeight="1" x14ac:dyDescent="0.25">
      <c r="B95" s="114"/>
      <c r="C95" s="117"/>
      <c r="D95" s="110">
        <v>191150</v>
      </c>
      <c r="E95" s="97">
        <v>30427</v>
      </c>
      <c r="F95" s="98">
        <v>0.24</v>
      </c>
      <c r="G95" s="115"/>
      <c r="H95" s="110">
        <v>102025</v>
      </c>
      <c r="I95" s="97">
        <v>15213.5</v>
      </c>
      <c r="J95" s="98">
        <v>0.24</v>
      </c>
      <c r="M95" s="19"/>
      <c r="N95" s="51"/>
      <c r="O95" s="19"/>
      <c r="S95" s="79">
        <v>92</v>
      </c>
    </row>
    <row r="96" spans="1:19" ht="16.5" hidden="1" customHeight="1" x14ac:dyDescent="0.25">
      <c r="B96" s="114"/>
      <c r="C96" s="117"/>
      <c r="D96" s="110">
        <v>353100</v>
      </c>
      <c r="E96" s="97">
        <v>69295</v>
      </c>
      <c r="F96" s="98">
        <v>0.32</v>
      </c>
      <c r="G96" s="115"/>
      <c r="H96" s="110">
        <v>183000</v>
      </c>
      <c r="I96" s="97">
        <v>34647.5</v>
      </c>
      <c r="J96" s="98">
        <v>0.32</v>
      </c>
      <c r="M96" s="19"/>
      <c r="N96" s="51"/>
      <c r="O96" s="19"/>
      <c r="S96" s="79">
        <v>93</v>
      </c>
    </row>
    <row r="97" spans="1:19" ht="16.5" hidden="1" customHeight="1" x14ac:dyDescent="0.25">
      <c r="B97" s="114"/>
      <c r="C97" s="117"/>
      <c r="D97" s="110">
        <v>444900</v>
      </c>
      <c r="E97" s="97">
        <v>98671</v>
      </c>
      <c r="F97" s="98">
        <v>0.35</v>
      </c>
      <c r="G97" s="115"/>
      <c r="H97" s="110">
        <v>228900</v>
      </c>
      <c r="I97" s="97">
        <v>49335.5</v>
      </c>
      <c r="J97" s="98">
        <v>0.35</v>
      </c>
      <c r="M97" s="19"/>
      <c r="N97" s="51"/>
      <c r="O97" s="19"/>
      <c r="S97" s="79">
        <v>94</v>
      </c>
    </row>
    <row r="98" spans="1:19" ht="16.5" hidden="1" customHeight="1" thickBot="1" x14ac:dyDescent="0.3">
      <c r="B98" s="114"/>
      <c r="C98" s="117"/>
      <c r="D98" s="111">
        <v>660850</v>
      </c>
      <c r="E98" s="99">
        <v>174253.5</v>
      </c>
      <c r="F98" s="100">
        <v>0.37</v>
      </c>
      <c r="G98" s="116"/>
      <c r="H98" s="111">
        <v>336875</v>
      </c>
      <c r="I98" s="99">
        <v>87126.75</v>
      </c>
      <c r="J98" s="100">
        <v>0.37</v>
      </c>
      <c r="L98" s="32"/>
      <c r="M98" s="18"/>
      <c r="N98" s="51"/>
      <c r="O98" s="19"/>
      <c r="S98" s="79">
        <v>95</v>
      </c>
    </row>
    <row r="99" spans="1:19" ht="16.5" hidden="1" customHeight="1" x14ac:dyDescent="0.25">
      <c r="B99" s="240" t="s">
        <v>69</v>
      </c>
      <c r="C99" s="241"/>
      <c r="D99" s="244" t="s">
        <v>129</v>
      </c>
      <c r="E99" s="244"/>
      <c r="F99" s="244"/>
      <c r="G99" s="107"/>
      <c r="H99" s="63"/>
      <c r="I99" s="63"/>
      <c r="J99" s="64"/>
      <c r="M99" s="18"/>
      <c r="S99" s="79">
        <v>96</v>
      </c>
    </row>
    <row r="100" spans="1:19" ht="16.5" hidden="1" customHeight="1" thickBot="1" x14ac:dyDescent="0.3">
      <c r="A100" s="10"/>
      <c r="B100" s="242" t="s">
        <v>70</v>
      </c>
      <c r="C100" s="243"/>
      <c r="D100" s="245" t="s">
        <v>130</v>
      </c>
      <c r="E100" s="245"/>
      <c r="F100" s="245"/>
      <c r="G100" s="106" t="s">
        <v>70</v>
      </c>
      <c r="H100" s="245" t="s">
        <v>72</v>
      </c>
      <c r="I100" s="245"/>
      <c r="J100" s="246"/>
      <c r="M100" s="18"/>
      <c r="S100" s="79">
        <v>97</v>
      </c>
    </row>
    <row r="101" spans="1:19" ht="16.5" hidden="1" customHeight="1" thickBot="1" x14ac:dyDescent="0.3">
      <c r="A101" s="10"/>
      <c r="B101" s="114"/>
      <c r="C101" s="117"/>
      <c r="D101" s="40" t="s">
        <v>97</v>
      </c>
      <c r="E101" s="40" t="s">
        <v>98</v>
      </c>
      <c r="F101" s="65" t="s">
        <v>99</v>
      </c>
      <c r="G101" s="115"/>
      <c r="H101" s="40" t="s">
        <v>97</v>
      </c>
      <c r="I101" s="40" t="s">
        <v>98</v>
      </c>
      <c r="J101" s="65" t="s">
        <v>99</v>
      </c>
      <c r="M101" s="19"/>
      <c r="S101" s="79">
        <v>98</v>
      </c>
    </row>
    <row r="102" spans="1:19" ht="16.5" hidden="1" customHeight="1" x14ac:dyDescent="0.25">
      <c r="B102" s="114"/>
      <c r="C102" s="117"/>
      <c r="D102" s="109">
        <v>0</v>
      </c>
      <c r="E102" s="95">
        <v>0</v>
      </c>
      <c r="F102" s="96">
        <v>0</v>
      </c>
      <c r="G102" s="115"/>
      <c r="H102" s="109">
        <v>0</v>
      </c>
      <c r="I102" s="95">
        <v>0</v>
      </c>
      <c r="J102" s="96">
        <v>0</v>
      </c>
      <c r="M102" s="19"/>
      <c r="N102" s="51"/>
      <c r="O102" s="19"/>
      <c r="S102" s="79">
        <v>99</v>
      </c>
    </row>
    <row r="103" spans="1:19" ht="16.5" hidden="1" customHeight="1" x14ac:dyDescent="0.25">
      <c r="B103" s="114"/>
      <c r="C103" s="117"/>
      <c r="D103" s="110">
        <f>D104-0.01</f>
        <v>4349.99</v>
      </c>
      <c r="E103" s="97">
        <v>0</v>
      </c>
      <c r="F103" s="98">
        <v>0</v>
      </c>
      <c r="G103" s="115"/>
      <c r="H103" s="110">
        <f>H104-0.01</f>
        <v>6474.99</v>
      </c>
      <c r="I103" s="97">
        <v>0</v>
      </c>
      <c r="J103" s="98">
        <v>0</v>
      </c>
      <c r="M103" s="19"/>
      <c r="N103" s="51"/>
      <c r="O103" s="19"/>
    </row>
    <row r="104" spans="1:19" ht="16.5" hidden="1" customHeight="1" x14ac:dyDescent="0.25">
      <c r="B104" s="114"/>
      <c r="C104" s="117"/>
      <c r="D104" s="110">
        <v>4350</v>
      </c>
      <c r="E104" s="97">
        <v>0</v>
      </c>
      <c r="F104" s="98">
        <v>0.1</v>
      </c>
      <c r="G104" s="115"/>
      <c r="H104" s="110">
        <v>6475</v>
      </c>
      <c r="I104" s="97">
        <v>0</v>
      </c>
      <c r="J104" s="98">
        <v>0.1</v>
      </c>
      <c r="M104" s="19"/>
      <c r="N104" s="51"/>
      <c r="O104" s="19"/>
    </row>
    <row r="105" spans="1:19" ht="16.5" hidden="1" customHeight="1" x14ac:dyDescent="0.25">
      <c r="B105" s="114"/>
      <c r="C105" s="117"/>
      <c r="D105" s="110">
        <v>14625</v>
      </c>
      <c r="E105" s="97">
        <v>1027.5</v>
      </c>
      <c r="F105" s="98">
        <v>0.12</v>
      </c>
      <c r="G105" s="115"/>
      <c r="H105" s="110">
        <v>11613</v>
      </c>
      <c r="I105" s="97">
        <v>513.75</v>
      </c>
      <c r="J105" s="98">
        <v>0.12</v>
      </c>
      <c r="M105" s="19"/>
      <c r="N105" s="51"/>
      <c r="O105" s="19"/>
    </row>
    <row r="106" spans="1:19" ht="16.5" hidden="1" customHeight="1" x14ac:dyDescent="0.25">
      <c r="B106" s="114"/>
      <c r="C106" s="117"/>
      <c r="D106" s="110">
        <v>46125</v>
      </c>
      <c r="E106" s="97">
        <v>4807.5</v>
      </c>
      <c r="F106" s="98">
        <v>0.22</v>
      </c>
      <c r="G106" s="115"/>
      <c r="H106" s="110">
        <v>27363</v>
      </c>
      <c r="I106" s="97">
        <v>2403.75</v>
      </c>
      <c r="J106" s="98">
        <v>0.22</v>
      </c>
      <c r="M106" s="19"/>
      <c r="N106" s="51"/>
      <c r="O106" s="19"/>
    </row>
    <row r="107" spans="1:19" ht="16.5" hidden="1" customHeight="1" x14ac:dyDescent="0.25">
      <c r="B107" s="114"/>
      <c r="C107" s="117"/>
      <c r="D107" s="110">
        <v>93425</v>
      </c>
      <c r="E107" s="97">
        <v>15213.5</v>
      </c>
      <c r="F107" s="98">
        <v>0.24</v>
      </c>
      <c r="G107" s="115"/>
      <c r="H107" s="110">
        <v>51013</v>
      </c>
      <c r="I107" s="97">
        <v>7606.75</v>
      </c>
      <c r="J107" s="98">
        <v>0.24</v>
      </c>
      <c r="M107" s="19"/>
      <c r="N107" s="51"/>
      <c r="O107" s="19"/>
    </row>
    <row r="108" spans="1:19" ht="16.5" hidden="1" customHeight="1" x14ac:dyDescent="0.25">
      <c r="B108" s="114"/>
      <c r="C108" s="117"/>
      <c r="D108" s="110">
        <v>174400</v>
      </c>
      <c r="E108" s="97">
        <v>34647.5</v>
      </c>
      <c r="F108" s="98">
        <v>0.32</v>
      </c>
      <c r="G108" s="115"/>
      <c r="H108" s="110">
        <v>91500</v>
      </c>
      <c r="I108" s="97">
        <v>17323.75</v>
      </c>
      <c r="J108" s="98">
        <v>0.32</v>
      </c>
      <c r="M108" s="19"/>
      <c r="N108" s="51"/>
      <c r="O108" s="19"/>
    </row>
    <row r="109" spans="1:19" ht="16.5" hidden="1" customHeight="1" x14ac:dyDescent="0.25">
      <c r="B109" s="114"/>
      <c r="C109" s="117"/>
      <c r="D109" s="110">
        <v>220300</v>
      </c>
      <c r="E109" s="97">
        <v>49335.5</v>
      </c>
      <c r="F109" s="98">
        <v>0.35</v>
      </c>
      <c r="G109" s="115"/>
      <c r="H109" s="110">
        <v>114450</v>
      </c>
      <c r="I109" s="97">
        <v>24667.75</v>
      </c>
      <c r="J109" s="98">
        <v>0.35</v>
      </c>
      <c r="M109" s="19"/>
      <c r="N109" s="51"/>
      <c r="O109" s="19"/>
    </row>
    <row r="110" spans="1:19" ht="16.5" hidden="1" customHeight="1" thickBot="1" x14ac:dyDescent="0.3">
      <c r="B110" s="114"/>
      <c r="C110" s="117"/>
      <c r="D110" s="111">
        <v>544250</v>
      </c>
      <c r="E110" s="99">
        <v>162718</v>
      </c>
      <c r="F110" s="100">
        <v>0.37</v>
      </c>
      <c r="G110" s="116"/>
      <c r="H110" s="111">
        <v>276425</v>
      </c>
      <c r="I110" s="99">
        <v>81359</v>
      </c>
      <c r="J110" s="100">
        <v>0.37</v>
      </c>
      <c r="M110" s="19"/>
      <c r="N110" s="51"/>
      <c r="O110" s="19"/>
    </row>
    <row r="111" spans="1:19" ht="16.5" hidden="1" customHeight="1" x14ac:dyDescent="0.25">
      <c r="B111" s="240" t="s">
        <v>69</v>
      </c>
      <c r="C111" s="241"/>
      <c r="D111" s="244" t="s">
        <v>73</v>
      </c>
      <c r="E111" s="244"/>
      <c r="F111" s="244"/>
      <c r="G111" s="107"/>
      <c r="H111" s="63"/>
      <c r="I111" s="63"/>
      <c r="J111" s="64"/>
      <c r="M111" s="19"/>
      <c r="N111" s="51"/>
      <c r="O111" s="19"/>
    </row>
    <row r="112" spans="1:19" ht="16.5" hidden="1" customHeight="1" thickBot="1" x14ac:dyDescent="0.3">
      <c r="B112" s="242" t="s">
        <v>70</v>
      </c>
      <c r="C112" s="243"/>
      <c r="D112" s="245" t="s">
        <v>61</v>
      </c>
      <c r="E112" s="245"/>
      <c r="F112" s="245"/>
      <c r="G112" s="106" t="s">
        <v>70</v>
      </c>
      <c r="H112" s="245" t="s">
        <v>61</v>
      </c>
      <c r="I112" s="245"/>
      <c r="J112" s="246"/>
      <c r="L112" s="32"/>
      <c r="M112" s="18"/>
      <c r="N112" s="51"/>
      <c r="O112" s="19"/>
    </row>
    <row r="113" spans="2:13" ht="16.5" hidden="1" customHeight="1" thickBot="1" x14ac:dyDescent="0.3">
      <c r="B113" s="114"/>
      <c r="C113" s="117"/>
      <c r="D113" s="40" t="s">
        <v>97</v>
      </c>
      <c r="E113" s="40" t="s">
        <v>98</v>
      </c>
      <c r="F113" s="65" t="s">
        <v>99</v>
      </c>
      <c r="G113" s="115"/>
      <c r="H113" s="40" t="s">
        <v>97</v>
      </c>
      <c r="I113" s="40" t="s">
        <v>98</v>
      </c>
      <c r="J113" s="65" t="s">
        <v>99</v>
      </c>
      <c r="L113" s="32"/>
      <c r="M113" s="18"/>
    </row>
    <row r="114" spans="2:13" ht="16.5" hidden="1" customHeight="1" x14ac:dyDescent="0.25">
      <c r="B114" s="114"/>
      <c r="C114" s="117"/>
      <c r="D114" s="109">
        <v>0</v>
      </c>
      <c r="E114" s="95">
        <v>0</v>
      </c>
      <c r="F114" s="96">
        <v>0</v>
      </c>
      <c r="G114" s="112"/>
      <c r="H114" s="109">
        <v>0</v>
      </c>
      <c r="I114" s="95">
        <v>0</v>
      </c>
      <c r="J114" s="96">
        <v>0</v>
      </c>
      <c r="L114" s="32"/>
      <c r="M114" s="18"/>
    </row>
    <row r="115" spans="2:13" ht="16.5" hidden="1" customHeight="1" x14ac:dyDescent="0.25">
      <c r="B115" s="114"/>
      <c r="C115" s="117"/>
      <c r="D115" s="110">
        <f>D116-0.01</f>
        <v>10799.99</v>
      </c>
      <c r="E115" s="97">
        <v>0</v>
      </c>
      <c r="F115" s="98">
        <v>0</v>
      </c>
      <c r="G115" s="112"/>
      <c r="H115" s="110">
        <f>H116-0.01</f>
        <v>9699.99</v>
      </c>
      <c r="I115" s="97">
        <v>0</v>
      </c>
      <c r="J115" s="98">
        <v>0</v>
      </c>
      <c r="L115" s="32"/>
      <c r="M115" s="18"/>
    </row>
    <row r="116" spans="2:13" ht="16.5" hidden="1" customHeight="1" x14ac:dyDescent="0.25">
      <c r="B116" s="114"/>
      <c r="C116" s="117"/>
      <c r="D116" s="110">
        <v>10800</v>
      </c>
      <c r="E116" s="97">
        <v>0</v>
      </c>
      <c r="F116" s="98">
        <v>0.1</v>
      </c>
      <c r="G116" s="112"/>
      <c r="H116" s="110">
        <v>9700</v>
      </c>
      <c r="I116" s="97">
        <v>0</v>
      </c>
      <c r="J116" s="98">
        <v>0.1</v>
      </c>
      <c r="L116" s="32"/>
      <c r="M116" s="18"/>
    </row>
    <row r="117" spans="2:13" ht="16.5" hidden="1" customHeight="1" x14ac:dyDescent="0.25">
      <c r="B117" s="114"/>
      <c r="C117" s="117"/>
      <c r="D117" s="110">
        <v>25450</v>
      </c>
      <c r="E117" s="97">
        <v>1465</v>
      </c>
      <c r="F117" s="98">
        <v>0.12</v>
      </c>
      <c r="G117" s="112"/>
      <c r="H117" s="110">
        <v>17025</v>
      </c>
      <c r="I117" s="97">
        <v>732.5</v>
      </c>
      <c r="J117" s="98">
        <v>0.12</v>
      </c>
      <c r="L117" s="32"/>
      <c r="M117" s="18"/>
    </row>
    <row r="118" spans="2:13" ht="16.5" hidden="1" customHeight="1" x14ac:dyDescent="0.25">
      <c r="B118" s="114"/>
      <c r="C118" s="117"/>
      <c r="D118" s="110">
        <v>66700</v>
      </c>
      <c r="E118" s="97">
        <v>6415</v>
      </c>
      <c r="F118" s="98">
        <v>0.22</v>
      </c>
      <c r="G118" s="112"/>
      <c r="H118" s="110">
        <v>37650</v>
      </c>
      <c r="I118" s="97">
        <v>3207.5</v>
      </c>
      <c r="J118" s="98">
        <v>0.22</v>
      </c>
      <c r="L118" s="32"/>
      <c r="M118" s="18"/>
    </row>
    <row r="119" spans="2:13" ht="16.5" hidden="1" customHeight="1" x14ac:dyDescent="0.25">
      <c r="B119" s="114"/>
      <c r="C119" s="117"/>
      <c r="D119" s="110">
        <v>99850</v>
      </c>
      <c r="E119" s="97">
        <v>13708</v>
      </c>
      <c r="F119" s="98">
        <v>0.24</v>
      </c>
      <c r="G119" s="112"/>
      <c r="H119" s="110">
        <v>54225</v>
      </c>
      <c r="I119" s="97">
        <v>6854</v>
      </c>
      <c r="J119" s="98">
        <v>0.24</v>
      </c>
      <c r="L119" s="32"/>
      <c r="M119" s="18"/>
    </row>
    <row r="120" spans="2:13" ht="16.5" hidden="1" customHeight="1" x14ac:dyDescent="0.25">
      <c r="B120" s="66"/>
      <c r="C120" s="118"/>
      <c r="D120" s="110">
        <v>180850</v>
      </c>
      <c r="E120" s="97">
        <v>33148</v>
      </c>
      <c r="F120" s="98">
        <v>0.32</v>
      </c>
      <c r="G120" s="112"/>
      <c r="H120" s="110">
        <v>94725</v>
      </c>
      <c r="I120" s="97">
        <v>16574</v>
      </c>
      <c r="J120" s="98">
        <v>0.32</v>
      </c>
      <c r="L120" s="32"/>
      <c r="M120" s="18"/>
    </row>
    <row r="121" spans="2:13" ht="16.5" hidden="1" customHeight="1" x14ac:dyDescent="0.25">
      <c r="B121" s="66"/>
      <c r="C121" s="118"/>
      <c r="D121" s="110">
        <v>226750</v>
      </c>
      <c r="E121" s="97">
        <v>47836</v>
      </c>
      <c r="F121" s="98">
        <v>0.35</v>
      </c>
      <c r="G121" s="112"/>
      <c r="H121" s="110">
        <v>117675</v>
      </c>
      <c r="I121" s="97">
        <v>23918</v>
      </c>
      <c r="J121" s="98">
        <v>0.35</v>
      </c>
      <c r="L121" s="32"/>
      <c r="M121" s="18"/>
    </row>
    <row r="122" spans="2:13" ht="16.5" hidden="1" customHeight="1" thickBot="1" x14ac:dyDescent="0.3">
      <c r="B122" s="67"/>
      <c r="C122" s="119"/>
      <c r="D122" s="111">
        <v>550700</v>
      </c>
      <c r="E122" s="99">
        <v>161218.5</v>
      </c>
      <c r="F122" s="100">
        <v>0.37</v>
      </c>
      <c r="G122" s="113"/>
      <c r="H122" s="111">
        <v>279650</v>
      </c>
      <c r="I122" s="99">
        <v>80609.25</v>
      </c>
      <c r="J122" s="100">
        <v>0.37</v>
      </c>
      <c r="L122" s="32"/>
      <c r="M122" s="18"/>
    </row>
    <row r="123" spans="2:13" ht="16.5" customHeight="1" x14ac:dyDescent="0.25">
      <c r="L123" s="32"/>
      <c r="M123" s="18"/>
    </row>
    <row r="124" spans="2:13" ht="16.5" customHeight="1" x14ac:dyDescent="0.25">
      <c r="L124" s="32"/>
      <c r="M124" s="18"/>
    </row>
    <row r="125" spans="2:13" ht="16.5" customHeight="1" x14ac:dyDescent="0.25">
      <c r="L125" s="32"/>
      <c r="M125" s="18"/>
    </row>
    <row r="126" spans="2:13" x14ac:dyDescent="0.25">
      <c r="L126" s="32"/>
      <c r="M126" s="18"/>
    </row>
    <row r="127" spans="2:13" x14ac:dyDescent="0.25">
      <c r="L127" s="32"/>
      <c r="M127" s="18"/>
    </row>
    <row r="128" spans="2:13" x14ac:dyDescent="0.25">
      <c r="L128" s="32"/>
      <c r="M128" s="18"/>
    </row>
    <row r="129" spans="12:13" x14ac:dyDescent="0.25">
      <c r="L129" s="32"/>
      <c r="M129" s="18"/>
    </row>
    <row r="130" spans="12:13" x14ac:dyDescent="0.25">
      <c r="L130" s="32"/>
      <c r="M130" s="18"/>
    </row>
    <row r="131" spans="12:13" x14ac:dyDescent="0.25">
      <c r="L131" s="32"/>
      <c r="M131" s="18"/>
    </row>
    <row r="132" spans="12:13" x14ac:dyDescent="0.25">
      <c r="L132" s="32"/>
      <c r="M132" s="18"/>
    </row>
    <row r="133" spans="12:13" x14ac:dyDescent="0.25">
      <c r="L133" s="32"/>
      <c r="M133" s="18"/>
    </row>
    <row r="134" spans="12:13" x14ac:dyDescent="0.25">
      <c r="L134" s="32"/>
      <c r="M134" s="18"/>
    </row>
    <row r="135" spans="12:13" x14ac:dyDescent="0.25">
      <c r="L135" s="32"/>
      <c r="M135" s="18"/>
    </row>
    <row r="136" spans="12:13" x14ac:dyDescent="0.25">
      <c r="L136" s="32"/>
      <c r="M136" s="18"/>
    </row>
    <row r="137" spans="12:13" x14ac:dyDescent="0.25">
      <c r="L137" s="32"/>
      <c r="M137" s="18"/>
    </row>
    <row r="138" spans="12:13" x14ac:dyDescent="0.25">
      <c r="L138" s="32"/>
      <c r="M138" s="18"/>
    </row>
    <row r="139" spans="12:13" x14ac:dyDescent="0.25">
      <c r="L139" s="32"/>
      <c r="M139" s="18"/>
    </row>
    <row r="140" spans="12:13" x14ac:dyDescent="0.25">
      <c r="L140" s="32"/>
      <c r="M140" s="18"/>
    </row>
    <row r="141" spans="12:13" x14ac:dyDescent="0.25">
      <c r="L141" s="32"/>
      <c r="M141" s="18"/>
    </row>
    <row r="142" spans="12:13" x14ac:dyDescent="0.25">
      <c r="L142" s="32"/>
      <c r="M142" s="18"/>
    </row>
    <row r="143" spans="12:13" x14ac:dyDescent="0.25">
      <c r="L143" s="32"/>
      <c r="M143" s="18"/>
    </row>
    <row r="144" spans="12:13" x14ac:dyDescent="0.25">
      <c r="L144" s="32"/>
      <c r="M144" s="18"/>
    </row>
    <row r="145" spans="12:13" x14ac:dyDescent="0.25">
      <c r="L145" s="32"/>
      <c r="M145" s="18"/>
    </row>
    <row r="146" spans="12:13" x14ac:dyDescent="0.25">
      <c r="L146" s="32"/>
      <c r="M146" s="18"/>
    </row>
    <row r="147" spans="12:13" x14ac:dyDescent="0.25">
      <c r="L147" s="32"/>
      <c r="M147" s="18"/>
    </row>
    <row r="148" spans="12:13" x14ac:dyDescent="0.25">
      <c r="L148" s="32"/>
      <c r="M148" s="18"/>
    </row>
    <row r="149" spans="12:13" x14ac:dyDescent="0.25">
      <c r="L149" s="32"/>
      <c r="M149" s="18"/>
    </row>
    <row r="150" spans="12:13" x14ac:dyDescent="0.25">
      <c r="L150" s="32"/>
      <c r="M150" s="18"/>
    </row>
    <row r="151" spans="12:13" x14ac:dyDescent="0.25">
      <c r="L151" s="32"/>
      <c r="M151" s="18"/>
    </row>
    <row r="152" spans="12:13" x14ac:dyDescent="0.25">
      <c r="L152" s="32"/>
      <c r="M152" s="18"/>
    </row>
    <row r="153" spans="12:13" x14ac:dyDescent="0.25">
      <c r="L153" s="32"/>
      <c r="M153" s="18"/>
    </row>
    <row r="154" spans="12:13" x14ac:dyDescent="0.25">
      <c r="L154" s="32"/>
      <c r="M154" s="18"/>
    </row>
    <row r="155" spans="12:13" x14ac:dyDescent="0.25">
      <c r="L155" s="32"/>
      <c r="M155" s="18"/>
    </row>
    <row r="156" spans="12:13" x14ac:dyDescent="0.25">
      <c r="L156" s="32"/>
      <c r="M156" s="18"/>
    </row>
    <row r="157" spans="12:13" x14ac:dyDescent="0.25">
      <c r="L157" s="32"/>
      <c r="M157" s="18"/>
    </row>
    <row r="158" spans="12:13" x14ac:dyDescent="0.25">
      <c r="L158" s="32"/>
      <c r="M158" s="18"/>
    </row>
    <row r="159" spans="12:13" x14ac:dyDescent="0.25">
      <c r="L159" s="32"/>
      <c r="M159" s="18"/>
    </row>
    <row r="160" spans="12:13" x14ac:dyDescent="0.25">
      <c r="L160" s="32"/>
      <c r="M160" s="18"/>
    </row>
    <row r="161" spans="12:13" x14ac:dyDescent="0.25">
      <c r="L161" s="32"/>
      <c r="M161" s="18"/>
    </row>
    <row r="162" spans="12:13" x14ac:dyDescent="0.25">
      <c r="L162" s="32"/>
      <c r="M162" s="18"/>
    </row>
    <row r="163" spans="12:13" x14ac:dyDescent="0.25">
      <c r="L163" s="32"/>
      <c r="M163" s="18"/>
    </row>
    <row r="164" spans="12:13" x14ac:dyDescent="0.25">
      <c r="L164" s="32"/>
      <c r="M164" s="18"/>
    </row>
    <row r="165" spans="12:13" x14ac:dyDescent="0.25">
      <c r="L165" s="32"/>
      <c r="M165" s="18"/>
    </row>
    <row r="166" spans="12:13" x14ac:dyDescent="0.25">
      <c r="L166" s="32"/>
      <c r="M166" s="18"/>
    </row>
    <row r="167" spans="12:13" x14ac:dyDescent="0.25">
      <c r="L167" s="32"/>
      <c r="M167" s="18"/>
    </row>
    <row r="168" spans="12:13" x14ac:dyDescent="0.25">
      <c r="L168" s="32"/>
      <c r="M168" s="18"/>
    </row>
    <row r="169" spans="12:13" x14ac:dyDescent="0.25">
      <c r="L169" s="32"/>
      <c r="M169" s="18"/>
    </row>
    <row r="170" spans="12:13" x14ac:dyDescent="0.25">
      <c r="L170" s="32"/>
      <c r="M170" s="18"/>
    </row>
    <row r="171" spans="12:13" x14ac:dyDescent="0.25">
      <c r="L171" s="32"/>
      <c r="M171" s="18"/>
    </row>
    <row r="172" spans="12:13" x14ac:dyDescent="0.25">
      <c r="L172" s="32"/>
      <c r="M172" s="18"/>
    </row>
    <row r="173" spans="12:13" x14ac:dyDescent="0.25">
      <c r="L173" s="32"/>
      <c r="M173" s="18"/>
    </row>
    <row r="174" spans="12:13" x14ac:dyDescent="0.25">
      <c r="L174" s="32"/>
      <c r="M174" s="18"/>
    </row>
    <row r="175" spans="12:13" x14ac:dyDescent="0.25">
      <c r="L175" s="32"/>
      <c r="M175" s="18"/>
    </row>
    <row r="176" spans="12:13" x14ac:dyDescent="0.25">
      <c r="L176" s="32"/>
      <c r="M176" s="18"/>
    </row>
    <row r="177" spans="12:13" x14ac:dyDescent="0.25">
      <c r="L177" s="32"/>
      <c r="M177" s="18"/>
    </row>
    <row r="178" spans="12:13" x14ac:dyDescent="0.25">
      <c r="L178" s="32"/>
      <c r="M178" s="18"/>
    </row>
    <row r="179" spans="12:13" x14ac:dyDescent="0.25">
      <c r="L179" s="32"/>
      <c r="M179" s="18"/>
    </row>
    <row r="180" spans="12:13" x14ac:dyDescent="0.25">
      <c r="L180" s="32"/>
      <c r="M180" s="18"/>
    </row>
    <row r="181" spans="12:13" x14ac:dyDescent="0.25">
      <c r="L181" s="32"/>
      <c r="M181" s="18"/>
    </row>
    <row r="182" spans="12:13" x14ac:dyDescent="0.25">
      <c r="L182" s="32"/>
      <c r="M182" s="18"/>
    </row>
    <row r="183" spans="12:13" x14ac:dyDescent="0.25">
      <c r="L183" s="32"/>
      <c r="M183" s="18"/>
    </row>
    <row r="184" spans="12:13" x14ac:dyDescent="0.25">
      <c r="L184" s="32"/>
      <c r="M184" s="18"/>
    </row>
    <row r="185" spans="12:13" x14ac:dyDescent="0.25">
      <c r="L185" s="32"/>
      <c r="M185" s="18"/>
    </row>
    <row r="186" spans="12:13" x14ac:dyDescent="0.25">
      <c r="L186" s="32"/>
      <c r="M186" s="18"/>
    </row>
    <row r="187" spans="12:13" x14ac:dyDescent="0.25">
      <c r="L187" s="32"/>
      <c r="M187" s="18"/>
    </row>
    <row r="188" spans="12:13" x14ac:dyDescent="0.25">
      <c r="L188" s="32"/>
      <c r="M188" s="18"/>
    </row>
    <row r="189" spans="12:13" x14ac:dyDescent="0.25">
      <c r="L189" s="32"/>
      <c r="M189" s="18"/>
    </row>
    <row r="190" spans="12:13" x14ac:dyDescent="0.25">
      <c r="L190" s="32"/>
      <c r="M190" s="18"/>
    </row>
    <row r="191" spans="12:13" x14ac:dyDescent="0.25">
      <c r="L191" s="32"/>
      <c r="M191" s="18"/>
    </row>
    <row r="192" spans="12:13" x14ac:dyDescent="0.25">
      <c r="L192" s="32"/>
      <c r="M192" s="18"/>
    </row>
    <row r="193" spans="12:13" x14ac:dyDescent="0.25">
      <c r="L193" s="32"/>
      <c r="M193" s="18"/>
    </row>
    <row r="194" spans="12:13" x14ac:dyDescent="0.25">
      <c r="L194" s="32"/>
      <c r="M194" s="18"/>
    </row>
    <row r="195" spans="12:13" x14ac:dyDescent="0.25">
      <c r="L195" s="32"/>
      <c r="M195" s="18"/>
    </row>
    <row r="196" spans="12:13" x14ac:dyDescent="0.25">
      <c r="L196" s="32"/>
      <c r="M196" s="18"/>
    </row>
    <row r="197" spans="12:13" x14ac:dyDescent="0.25">
      <c r="L197" s="32"/>
      <c r="M197" s="18"/>
    </row>
    <row r="198" spans="12:13" x14ac:dyDescent="0.25">
      <c r="L198" s="32"/>
      <c r="M198" s="18"/>
    </row>
    <row r="199" spans="12:13" x14ac:dyDescent="0.25">
      <c r="L199" s="32"/>
      <c r="M199" s="18"/>
    </row>
    <row r="200" spans="12:13" x14ac:dyDescent="0.25">
      <c r="L200" s="32"/>
      <c r="M200" s="18"/>
    </row>
    <row r="201" spans="12:13" x14ac:dyDescent="0.25">
      <c r="L201" s="32"/>
      <c r="M201" s="18"/>
    </row>
    <row r="202" spans="12:13" x14ac:dyDescent="0.25">
      <c r="L202" s="32"/>
      <c r="M202" s="18"/>
    </row>
    <row r="203" spans="12:13" x14ac:dyDescent="0.25">
      <c r="L203" s="32"/>
      <c r="M203" s="18"/>
    </row>
    <row r="204" spans="12:13" x14ac:dyDescent="0.25">
      <c r="L204" s="32"/>
      <c r="M204" s="18"/>
    </row>
    <row r="205" spans="12:13" x14ac:dyDescent="0.25">
      <c r="L205" s="32"/>
      <c r="M205" s="18"/>
    </row>
    <row r="206" spans="12:13" x14ac:dyDescent="0.25">
      <c r="L206" s="32"/>
      <c r="M206" s="18"/>
    </row>
    <row r="207" spans="12:13" x14ac:dyDescent="0.25">
      <c r="L207" s="32"/>
      <c r="M207" s="18"/>
    </row>
    <row r="208" spans="12:13" x14ac:dyDescent="0.25">
      <c r="L208" s="32"/>
      <c r="M208" s="18"/>
    </row>
    <row r="209" spans="12:13" x14ac:dyDescent="0.25">
      <c r="L209" s="32"/>
      <c r="M209" s="18"/>
    </row>
    <row r="210" spans="12:13" x14ac:dyDescent="0.25">
      <c r="L210" s="32"/>
      <c r="M210" s="18"/>
    </row>
    <row r="211" spans="12:13" x14ac:dyDescent="0.25">
      <c r="L211" s="32"/>
      <c r="M211" s="18"/>
    </row>
    <row r="212" spans="12:13" x14ac:dyDescent="0.25">
      <c r="L212" s="32"/>
      <c r="M212" s="18"/>
    </row>
    <row r="213" spans="12:13" x14ac:dyDescent="0.25">
      <c r="L213" s="32"/>
      <c r="M213" s="18"/>
    </row>
    <row r="214" spans="12:13" x14ac:dyDescent="0.25">
      <c r="L214" s="32"/>
      <c r="M214" s="18"/>
    </row>
    <row r="215" spans="12:13" x14ac:dyDescent="0.25">
      <c r="L215" s="32"/>
      <c r="M215" s="18"/>
    </row>
    <row r="216" spans="12:13" x14ac:dyDescent="0.25">
      <c r="L216" s="32"/>
      <c r="M216" s="18"/>
    </row>
    <row r="217" spans="12:13" x14ac:dyDescent="0.25">
      <c r="L217" s="32"/>
      <c r="M217" s="18"/>
    </row>
    <row r="218" spans="12:13" x14ac:dyDescent="0.25">
      <c r="L218" s="32"/>
      <c r="M218" s="18"/>
    </row>
  </sheetData>
  <sheetProtection algorithmName="SHA-512" hashValue="OFJqjhqZ6pGwO/TDPle5H5dDdGxUM/S2OPhSyao9RSO4wTq0qyaZMDF/1I0QuouFMGfke7kO4fXZ3nSyzH09wg==" saltValue="Rubm+qPDChaNYXNXhewHZA==" spinCount="100000" sheet="1"/>
  <mergeCells count="263">
    <mergeCell ref="B85:F86"/>
    <mergeCell ref="G85:J86"/>
    <mergeCell ref="B99:C99"/>
    <mergeCell ref="B100:C100"/>
    <mergeCell ref="B111:C111"/>
    <mergeCell ref="B112:C112"/>
    <mergeCell ref="D87:F87"/>
    <mergeCell ref="D99:F99"/>
    <mergeCell ref="D111:F111"/>
    <mergeCell ref="D88:F88"/>
    <mergeCell ref="H88:J88"/>
    <mergeCell ref="H100:J100"/>
    <mergeCell ref="H112:J112"/>
    <mergeCell ref="B88:C88"/>
    <mergeCell ref="D112:F112"/>
    <mergeCell ref="D100:F100"/>
    <mergeCell ref="B87:C87"/>
    <mergeCell ref="A83:F83"/>
    <mergeCell ref="A59:F59"/>
    <mergeCell ref="I29:J29"/>
    <mergeCell ref="I30:J30"/>
    <mergeCell ref="G83:H83"/>
    <mergeCell ref="I83:J83"/>
    <mergeCell ref="G80:H80"/>
    <mergeCell ref="I80:J80"/>
    <mergeCell ref="G81:H81"/>
    <mergeCell ref="I81:J81"/>
    <mergeCell ref="G82:H82"/>
    <mergeCell ref="I82:J82"/>
    <mergeCell ref="G77:H77"/>
    <mergeCell ref="I77:J77"/>
    <mergeCell ref="G78:H78"/>
    <mergeCell ref="I78:J78"/>
    <mergeCell ref="G79:H79"/>
    <mergeCell ref="I79:J79"/>
    <mergeCell ref="G74:H74"/>
    <mergeCell ref="I74:J74"/>
    <mergeCell ref="G75:H75"/>
    <mergeCell ref="I75:J75"/>
    <mergeCell ref="I76:J76"/>
    <mergeCell ref="G69:H69"/>
    <mergeCell ref="C3:L4"/>
    <mergeCell ref="D7:L7"/>
    <mergeCell ref="D6:L6"/>
    <mergeCell ref="D5:L5"/>
    <mergeCell ref="G29:H29"/>
    <mergeCell ref="G28:H28"/>
    <mergeCell ref="I14:L14"/>
    <mergeCell ref="I15:L15"/>
    <mergeCell ref="C23:F23"/>
    <mergeCell ref="C25:F25"/>
    <mergeCell ref="C29:F29"/>
    <mergeCell ref="C11:L11"/>
    <mergeCell ref="C28:F28"/>
    <mergeCell ref="G27:H27"/>
    <mergeCell ref="C16:D16"/>
    <mergeCell ref="I13:L13"/>
    <mergeCell ref="J9:L9"/>
    <mergeCell ref="D9:G9"/>
    <mergeCell ref="C14:D14"/>
    <mergeCell ref="C13:D13"/>
    <mergeCell ref="E13:H13"/>
    <mergeCell ref="E14:H14"/>
    <mergeCell ref="E17:H17"/>
    <mergeCell ref="E15:H15"/>
    <mergeCell ref="I72:J72"/>
    <mergeCell ref="G73:H73"/>
    <mergeCell ref="I73:J73"/>
    <mergeCell ref="C60:F60"/>
    <mergeCell ref="C61:F61"/>
    <mergeCell ref="C62:F62"/>
    <mergeCell ref="C63:F63"/>
    <mergeCell ref="C64:F64"/>
    <mergeCell ref="C65:F65"/>
    <mergeCell ref="G62:H62"/>
    <mergeCell ref="I62:J62"/>
    <mergeCell ref="G63:H63"/>
    <mergeCell ref="I63:J63"/>
    <mergeCell ref="G64:H64"/>
    <mergeCell ref="I64:J64"/>
    <mergeCell ref="C67:F67"/>
    <mergeCell ref="G65:H65"/>
    <mergeCell ref="I65:J65"/>
    <mergeCell ref="I69:J69"/>
    <mergeCell ref="G70:H70"/>
    <mergeCell ref="I70:J70"/>
    <mergeCell ref="G71:H71"/>
    <mergeCell ref="I71:J71"/>
    <mergeCell ref="G66:H66"/>
    <mergeCell ref="A82:B82"/>
    <mergeCell ref="C80:F80"/>
    <mergeCell ref="C81:F81"/>
    <mergeCell ref="C82:F82"/>
    <mergeCell ref="A77:B77"/>
    <mergeCell ref="A78:B78"/>
    <mergeCell ref="A79:B79"/>
    <mergeCell ref="C78:F78"/>
    <mergeCell ref="C79:F79"/>
    <mergeCell ref="G59:H59"/>
    <mergeCell ref="G60:H60"/>
    <mergeCell ref="C72:F72"/>
    <mergeCell ref="C73:F73"/>
    <mergeCell ref="C74:F74"/>
    <mergeCell ref="G72:H72"/>
    <mergeCell ref="G76:H76"/>
    <mergeCell ref="A80:B80"/>
    <mergeCell ref="A81:B81"/>
    <mergeCell ref="G67:H67"/>
    <mergeCell ref="G68:H68"/>
    <mergeCell ref="A60:B60"/>
    <mergeCell ref="A61:B61"/>
    <mergeCell ref="A62:B62"/>
    <mergeCell ref="A63:B63"/>
    <mergeCell ref="A64:B64"/>
    <mergeCell ref="A75:B75"/>
    <mergeCell ref="A76:B76"/>
    <mergeCell ref="C76:F76"/>
    <mergeCell ref="C77:F77"/>
    <mergeCell ref="C75:F75"/>
    <mergeCell ref="A73:B73"/>
    <mergeCell ref="A74:B74"/>
    <mergeCell ref="A72:B72"/>
    <mergeCell ref="G61:H61"/>
    <mergeCell ref="I61:J61"/>
    <mergeCell ref="A69:B69"/>
    <mergeCell ref="A70:B70"/>
    <mergeCell ref="A71:B71"/>
    <mergeCell ref="C69:F69"/>
    <mergeCell ref="C70:F70"/>
    <mergeCell ref="C71:F71"/>
    <mergeCell ref="A66:B66"/>
    <mergeCell ref="A67:B67"/>
    <mergeCell ref="A68:B68"/>
    <mergeCell ref="C68:F68"/>
    <mergeCell ref="C66:F66"/>
    <mergeCell ref="I66:J66"/>
    <mergeCell ref="I67:J67"/>
    <mergeCell ref="I68:J68"/>
    <mergeCell ref="C47:F47"/>
    <mergeCell ref="C44:F44"/>
    <mergeCell ref="C43:F43"/>
    <mergeCell ref="G55:H55"/>
    <mergeCell ref="A65:B65"/>
    <mergeCell ref="C49:F49"/>
    <mergeCell ref="C48:F48"/>
    <mergeCell ref="C42:F42"/>
    <mergeCell ref="C41:F41"/>
    <mergeCell ref="C54:F54"/>
    <mergeCell ref="C55:F55"/>
    <mergeCell ref="C53:F53"/>
    <mergeCell ref="C52:F52"/>
    <mergeCell ref="C51:F51"/>
    <mergeCell ref="C50:F50"/>
    <mergeCell ref="C46:F46"/>
    <mergeCell ref="C45:F45"/>
    <mergeCell ref="G54:H54"/>
    <mergeCell ref="G43:H43"/>
    <mergeCell ref="G42:H42"/>
    <mergeCell ref="G41:H41"/>
    <mergeCell ref="C57:L57"/>
    <mergeCell ref="I59:J59"/>
    <mergeCell ref="I60:J60"/>
    <mergeCell ref="C31:F31"/>
    <mergeCell ref="C30:F30"/>
    <mergeCell ref="C36:F36"/>
    <mergeCell ref="C38:E38"/>
    <mergeCell ref="C35:F35"/>
    <mergeCell ref="C34:F34"/>
    <mergeCell ref="C32:F32"/>
    <mergeCell ref="I39:J39"/>
    <mergeCell ref="I40:J40"/>
    <mergeCell ref="C40:F40"/>
    <mergeCell ref="C39:F39"/>
    <mergeCell ref="G30:H30"/>
    <mergeCell ref="G40:H40"/>
    <mergeCell ref="G39:H39"/>
    <mergeCell ref="G38:H38"/>
    <mergeCell ref="G35:H35"/>
    <mergeCell ref="G34:H34"/>
    <mergeCell ref="K46:L46"/>
    <mergeCell ref="K45:L45"/>
    <mergeCell ref="K44:L44"/>
    <mergeCell ref="K43:L43"/>
    <mergeCell ref="K42:L42"/>
    <mergeCell ref="G53:H53"/>
    <mergeCell ref="G52:H52"/>
    <mergeCell ref="G51:H51"/>
    <mergeCell ref="G50:H50"/>
    <mergeCell ref="G49:H49"/>
    <mergeCell ref="G48:H48"/>
    <mergeCell ref="G47:H47"/>
    <mergeCell ref="G46:H46"/>
    <mergeCell ref="G45:H45"/>
    <mergeCell ref="G44:H44"/>
    <mergeCell ref="I42:J42"/>
    <mergeCell ref="K55:L55"/>
    <mergeCell ref="K54:L54"/>
    <mergeCell ref="K53:L53"/>
    <mergeCell ref="K52:L52"/>
    <mergeCell ref="K51:L51"/>
    <mergeCell ref="K50:L50"/>
    <mergeCell ref="K49:L49"/>
    <mergeCell ref="K48:L48"/>
    <mergeCell ref="K47:L47"/>
    <mergeCell ref="K36:L36"/>
    <mergeCell ref="K37:L37"/>
    <mergeCell ref="K41:L41"/>
    <mergeCell ref="I31:J31"/>
    <mergeCell ref="I32:J32"/>
    <mergeCell ref="I34:J34"/>
    <mergeCell ref="I35:J35"/>
    <mergeCell ref="I36:J36"/>
    <mergeCell ref="I38:J38"/>
    <mergeCell ref="I37:J37"/>
    <mergeCell ref="I41:J41"/>
    <mergeCell ref="E18:H18"/>
    <mergeCell ref="E16:H16"/>
    <mergeCell ref="C19:D19"/>
    <mergeCell ref="I55:J55"/>
    <mergeCell ref="I49:J49"/>
    <mergeCell ref="I50:J50"/>
    <mergeCell ref="I51:J51"/>
    <mergeCell ref="I52:J52"/>
    <mergeCell ref="I53:J53"/>
    <mergeCell ref="I54:J54"/>
    <mergeCell ref="C17:D17"/>
    <mergeCell ref="C18:D18"/>
    <mergeCell ref="I17:L17"/>
    <mergeCell ref="G37:H37"/>
    <mergeCell ref="C37:F37"/>
    <mergeCell ref="C27:F27"/>
    <mergeCell ref="G32:H32"/>
    <mergeCell ref="K30:L30"/>
    <mergeCell ref="I45:J45"/>
    <mergeCell ref="I16:L16"/>
    <mergeCell ref="I18:L18"/>
    <mergeCell ref="K40:L40"/>
    <mergeCell ref="K39:L39"/>
    <mergeCell ref="K38:L38"/>
    <mergeCell ref="U40:U54"/>
    <mergeCell ref="U37:U39"/>
    <mergeCell ref="F2:I2"/>
    <mergeCell ref="K2:M2"/>
    <mergeCell ref="E19:H19"/>
    <mergeCell ref="C15:D15"/>
    <mergeCell ref="I19:L19"/>
    <mergeCell ref="I43:J43"/>
    <mergeCell ref="I44:J44"/>
    <mergeCell ref="C22:F22"/>
    <mergeCell ref="G31:H31"/>
    <mergeCell ref="I28:J28"/>
    <mergeCell ref="G36:H36"/>
    <mergeCell ref="I47:J47"/>
    <mergeCell ref="I48:J48"/>
    <mergeCell ref="K28:L28"/>
    <mergeCell ref="I25:J27"/>
    <mergeCell ref="K25:L27"/>
    <mergeCell ref="K35:L35"/>
    <mergeCell ref="K34:L34"/>
    <mergeCell ref="K32:L32"/>
    <mergeCell ref="K29:L29"/>
    <mergeCell ref="K31:L31"/>
    <mergeCell ref="I46:J46"/>
  </mergeCells>
  <phoneticPr fontId="0" type="noConversion"/>
  <conditionalFormatting sqref="C25:F25">
    <cfRule type="expression" dxfId="16" priority="46" stopIfTrue="1">
      <formula>$C$23=""</formula>
    </cfRule>
  </conditionalFormatting>
  <conditionalFormatting sqref="I17:L19">
    <cfRule type="expression" dxfId="15" priority="34" stopIfTrue="1">
      <formula>$I$13="2019 or Earlier"</formula>
    </cfRule>
  </conditionalFormatting>
  <conditionalFormatting sqref="C13:D13">
    <cfRule type="expression" dxfId="14" priority="49" stopIfTrue="1">
      <formula>$C$13&lt;&gt;""</formula>
    </cfRule>
  </conditionalFormatting>
  <conditionalFormatting sqref="C14:D14">
    <cfRule type="expression" dxfId="13" priority="51" stopIfTrue="1">
      <formula>$C$14&lt;&gt;""</formula>
    </cfRule>
  </conditionalFormatting>
  <conditionalFormatting sqref="C15:D15">
    <cfRule type="expression" dxfId="12" priority="28" stopIfTrue="1">
      <formula>OR($C$15="REQUIRED FIELD → → →",$C$15="Invalid Entry In This Field")</formula>
    </cfRule>
  </conditionalFormatting>
  <conditionalFormatting sqref="G47:H47 G55:H55">
    <cfRule type="expression" dxfId="11" priority="26" stopIfTrue="1">
      <formula>$P$20=TRUE()</formula>
    </cfRule>
  </conditionalFormatting>
  <conditionalFormatting sqref="T37:T39">
    <cfRule type="expression" dxfId="10" priority="10" stopIfTrue="1">
      <formula>"$O$38=FALSE()"</formula>
    </cfRule>
  </conditionalFormatting>
  <conditionalFormatting sqref="G38:H38">
    <cfRule type="expression" dxfId="9" priority="56" stopIfTrue="1">
      <formula>$P$37=TRUE()</formula>
    </cfRule>
  </conditionalFormatting>
  <conditionalFormatting sqref="T37:U39">
    <cfRule type="expression" dxfId="8" priority="57" stopIfTrue="1">
      <formula>$P$37=FALSE()</formula>
    </cfRule>
  </conditionalFormatting>
  <conditionalFormatting sqref="T40">
    <cfRule type="expression" dxfId="7" priority="58" stopIfTrue="1">
      <formula>$P$39=FALSE()</formula>
    </cfRule>
  </conditionalFormatting>
  <conditionalFormatting sqref="T41">
    <cfRule type="expression" dxfId="6" priority="59" stopIfTrue="1">
      <formula>$P$40=FALSE()</formula>
    </cfRule>
  </conditionalFormatting>
  <conditionalFormatting sqref="T54">
    <cfRule type="expression" dxfId="5" priority="62" stopIfTrue="1">
      <formula>$P$53=FALSE()</formula>
    </cfRule>
  </conditionalFormatting>
  <conditionalFormatting sqref="T50">
    <cfRule type="expression" dxfId="4" priority="66" stopIfTrue="1">
      <formula>$P$49=FALSE()</formula>
    </cfRule>
  </conditionalFormatting>
  <conditionalFormatting sqref="T51">
    <cfRule type="expression" dxfId="3" priority="68" stopIfTrue="1">
      <formula>$P$50=FALSE()</formula>
    </cfRule>
  </conditionalFormatting>
  <conditionalFormatting sqref="U40:U54">
    <cfRule type="expression" dxfId="2" priority="69" stopIfTrue="1">
      <formula>COUNTIF($O$39:$O$53,TRUE())=0</formula>
    </cfRule>
  </conditionalFormatting>
  <conditionalFormatting sqref="T53">
    <cfRule type="expression" dxfId="1" priority="71" stopIfTrue="1">
      <formula>$P$52=FALSE()</formula>
    </cfRule>
  </conditionalFormatting>
  <conditionalFormatting sqref="T46">
    <cfRule type="expression" dxfId="0" priority="72" stopIfTrue="1">
      <formula>$P$47=FALSE()</formula>
    </cfRule>
  </conditionalFormatting>
  <dataValidations count="5">
    <dataValidation type="list" allowBlank="1" showInputMessage="1" showErrorMessage="1" sqref="I13" xr:uid="{00000000-0002-0000-0100-000000000000}">
      <formula1>"2019 or Earlier, 2020 or Later"</formula1>
    </dataValidation>
    <dataValidation type="list" allowBlank="1" showInputMessage="1" showErrorMessage="1" sqref="I14:L14" xr:uid="{00000000-0002-0000-0100-000001000000}">
      <formula1>IF($I$13="2019 or Earlier",Pre_2020,Post_2020)</formula1>
    </dataValidation>
    <dataValidation type="decimal" operator="greaterThanOrEqual" allowBlank="1" showInputMessage="1" showErrorMessage="1" sqref="I17:L17" xr:uid="{00000000-0002-0000-0100-000002000000}">
      <formula1>0</formula1>
    </dataValidation>
    <dataValidation type="list" allowBlank="1" showInputMessage="1" showErrorMessage="1" sqref="I15:L15" xr:uid="{00000000-0002-0000-0100-000003000000}">
      <formula1>IF($I$13="2019 or Earlier",W4Line5,W4Step2)</formula1>
    </dataValidation>
    <dataValidation type="list" allowBlank="1" showInputMessage="1" showErrorMessage="1" sqref="C23:F23" xr:uid="{00000000-0002-0000-0100-000004000000}">
      <formula1>$O$16:$O$18</formula1>
    </dataValidation>
  </dataValidations>
  <printOptions horizontalCentered="1"/>
  <pageMargins left="0.75" right="0.75" top="1" bottom="1" header="0.5" footer="0.5"/>
  <pageSetup scale="70" orientation="portrait" r:id="rId1"/>
  <headerFooter alignWithMargins="0"/>
  <colBreaks count="1" manualBreakCount="1">
    <brk id="1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7</xdr:col>
                    <xdr:colOff>68580</xdr:colOff>
                    <xdr:row>21</xdr:row>
                    <xdr:rowOff>99060</xdr:rowOff>
                  </from>
                  <to>
                    <xdr:col>9</xdr:col>
                    <xdr:colOff>342900</xdr:colOff>
                    <xdr:row>22</xdr:row>
                    <xdr:rowOff>106680</xdr:rowOff>
                  </to>
                </anchor>
              </controlPr>
            </control>
          </mc:Choice>
        </mc:AlternateContent>
        <mc:AlternateContent xmlns:mc="http://schemas.openxmlformats.org/markup-compatibility/2006">
          <mc:Choice Requires="x14">
            <control shapeId="1042" r:id="rId5" name="Check Box 18">
              <controlPr defaultSize="0" autoFill="0" autoLine="0" autoPict="0">
                <anchor moveWithCells="1">
                  <from>
                    <xdr:col>9</xdr:col>
                    <xdr:colOff>403860</xdr:colOff>
                    <xdr:row>21</xdr:row>
                    <xdr:rowOff>99060</xdr:rowOff>
                  </from>
                  <to>
                    <xdr:col>11</xdr:col>
                    <xdr:colOff>670560</xdr:colOff>
                    <xdr:row>22</xdr:row>
                    <xdr:rowOff>106680</xdr:rowOff>
                  </to>
                </anchor>
              </controlPr>
            </control>
          </mc:Choice>
        </mc:AlternateContent>
        <mc:AlternateContent xmlns:mc="http://schemas.openxmlformats.org/markup-compatibility/2006">
          <mc:Choice Requires="x14">
            <control shapeId="1288" r:id="rId6" name="Check Box 264">
              <controlPr defaultSize="0" autoFill="0" autoLine="0" autoPict="0" altText="Check to use 22% Supplemental Income Tax Rate">
                <anchor moveWithCells="1">
                  <from>
                    <xdr:col>8</xdr:col>
                    <xdr:colOff>68580</xdr:colOff>
                    <xdr:row>41</xdr:row>
                    <xdr:rowOff>0</xdr:rowOff>
                  </from>
                  <to>
                    <xdr:col>12</xdr:col>
                    <xdr:colOff>0</xdr:colOff>
                    <xdr:row>42</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97C022E9BF2504E9774C2803284E097" ma:contentTypeVersion="10" ma:contentTypeDescription="Create a new document." ma:contentTypeScope="" ma:versionID="acc661199041f4a4db59d7d34eebe518">
  <xsd:schema xmlns:xsd="http://www.w3.org/2001/XMLSchema" xmlns:xs="http://www.w3.org/2001/XMLSchema" xmlns:p="http://schemas.microsoft.com/office/2006/metadata/properties" xmlns:ns2="5cda0204-0e5f-48ab-93e9-41c8cd34521f" xmlns:ns3="ba4ef42b-c21f-46cc-99e7-9c72f716c827" targetNamespace="http://schemas.microsoft.com/office/2006/metadata/properties" ma:root="true" ma:fieldsID="33df1a5227167de74fbeb5d9263fcb55" ns2:_="" ns3:_="">
    <xsd:import namespace="5cda0204-0e5f-48ab-93e9-41c8cd34521f"/>
    <xsd:import namespace="ba4ef42b-c21f-46cc-99e7-9c72f716c827"/>
    <xsd:element name="properties">
      <xsd:complexType>
        <xsd:sequence>
          <xsd:element name="documentManagement">
            <xsd:complexType>
              <xsd:all>
                <xsd:element ref="ns2:DOF_Category" minOccurs="0"/>
                <xsd:element ref="ns3:Transmittal" minOccurs="0"/>
                <xsd:element ref="ns3:Category" minOccurs="0"/>
                <xsd:element ref="ns3:Web_x0020_Source_x0020_Folder" minOccurs="0"/>
                <xsd:element ref="ns3:Web_x0020_Server" minOccurs="0"/>
                <xsd:element ref="ns3:Sub_x002d_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da0204-0e5f-48ab-93e9-41c8cd34521f" elementFormDefault="qualified">
    <xsd:import namespace="http://schemas.microsoft.com/office/2006/documentManagement/types"/>
    <xsd:import namespace="http://schemas.microsoft.com/office/infopath/2007/PartnerControls"/>
    <xsd:element name="DOF_Category" ma:index="2" nillable="true" ma:displayName="Document Type" ma:format="RadioButtons" ma:internalName="DOF_Category">
      <xsd:simpleType>
        <xsd:restriction base="dms:Choice">
          <xsd:enumeration value="Accounting Proc Manual"/>
          <xsd:enumeration value="Alaska Admin Manual"/>
          <xsd:enumeration value="Form"/>
          <xsd:enumeration value="Payroll Proc Manual"/>
          <xsd:enumeration value="Reference"/>
          <xsd:enumeration value="Other"/>
          <xsd:enumeration value="OBSOLETE - removed from DOF website"/>
        </xsd:restriction>
      </xsd:simpleType>
    </xsd:element>
  </xsd:schema>
  <xsd:schema xmlns:xsd="http://www.w3.org/2001/XMLSchema" xmlns:xs="http://www.w3.org/2001/XMLSchema" xmlns:dms="http://schemas.microsoft.com/office/2006/documentManagement/types" xmlns:pc="http://schemas.microsoft.com/office/infopath/2007/PartnerControls" targetNamespace="ba4ef42b-c21f-46cc-99e7-9c72f716c827" elementFormDefault="qualified">
    <xsd:import namespace="http://schemas.microsoft.com/office/2006/documentManagement/types"/>
    <xsd:import namespace="http://schemas.microsoft.com/office/infopath/2007/PartnerControls"/>
    <xsd:element name="Transmittal" ma:index="3" nillable="true" ma:displayName="Transmittal" ma:decimals="0" ma:description="Latest transmittal that updates section." ma:internalName="Transmittal">
      <xsd:simpleType>
        <xsd:restriction base="dms:Number"/>
      </xsd:simpleType>
    </xsd:element>
    <xsd:element name="Category" ma:index="10" nillable="true" ma:displayName="Category" ma:default="Not Applicable" ma:format="Dropdown" ma:internalName="Category">
      <xsd:simpleType>
        <xsd:restriction base="dms:Choice">
          <xsd:enumeration value="Not Applicable"/>
          <xsd:enumeration value="Accounting"/>
          <xsd:enumeration value="ALDER"/>
          <xsd:enumeration value="Charge Cards"/>
          <xsd:enumeration value="Electronic Payments"/>
          <xsd:enumeration value="Enterprise Applications"/>
          <xsd:enumeration value="Internal Controls"/>
          <xsd:enumeration value="IRIS"/>
          <xsd:enumeration value="Moving"/>
          <xsd:enumeration value="Payroll"/>
          <xsd:enumeration value="Personnel"/>
          <xsd:enumeration value="Procurement"/>
          <xsd:enumeration value="Publications"/>
          <xsd:enumeration value="Systems Security"/>
          <xsd:enumeration value="Tax"/>
          <xsd:enumeration value="Travel"/>
        </xsd:restriction>
      </xsd:simpleType>
    </xsd:element>
    <xsd:element name="Web_x0020_Source_x0020_Folder" ma:index="11" nillable="true" ma:displayName="Web Source Folder" ma:description="Web Source Folder (from URL)" ma:format="Dropdown" ma:internalName="Web_x0020_Source_x0020_Folder">
      <xsd:simpleType>
        <xsd:restriction base="dms:Choice">
          <xsd:enumeration value="N/A-Intranet"/>
          <xsd:enumeration value="acct"/>
          <xsd:enumeration value="akpay"/>
          <xsd:enumeration value="aksas"/>
          <xsd:enumeration value="alder"/>
          <xsd:enumeration value="charge_cards"/>
          <xsd:enumeration value="controls"/>
          <xsd:enumeration value="css"/>
          <xsd:enumeration value="epay"/>
          <xsd:enumeration value="forms"/>
          <xsd:enumeration value="help"/>
          <xsd:enumeration value="images"/>
          <xsd:enumeration value="iris"/>
          <xsd:enumeration value="learnalaska"/>
          <xsd:enumeration value="manuals"/>
          <xsd:enumeration value="manuals &gt; aam"/>
          <xsd:enumeration value="manuals &gt; apm"/>
          <xsd:enumeration value="manuals &gt; handy_guide"/>
          <xsd:enumeration value="manuals &gt; ppm"/>
          <xsd:enumeration value="moving"/>
          <xsd:enumeration value="payroll"/>
          <xsd:enumeration value="payroll &gt; sal_sched"/>
          <xsd:enumeration value="reports"/>
          <xsd:enumeration value="scripts"/>
          <xsd:enumeration value="ssa"/>
          <xsd:enumeration value="training"/>
          <xsd:enumeration value="travel"/>
          <xsd:enumeration value="updates"/>
          <xsd:enumeration value="OBSOLETE"/>
        </xsd:restriction>
      </xsd:simpleType>
    </xsd:element>
    <xsd:element name="Web_x0020_Server" ma:index="12" nillable="true" ma:displayName="Web Server" ma:default="doaweb" ma:format="RadioButtons" ma:internalName="Web_x0020_Server">
      <xsd:simpleType>
        <xsd:union memberTypes="dms:Text">
          <xsd:simpleType>
            <xsd:restriction base="dms:Choice">
              <xsd:enumeration value="doaweb"/>
              <xsd:enumeration value="intranet/auth"/>
              <xsd:enumeration value="N/A"/>
            </xsd:restriction>
          </xsd:simpleType>
        </xsd:union>
      </xsd:simpleType>
    </xsd:element>
    <xsd:element name="Sub_x002d_Category" ma:index="13" nillable="true" ma:displayName="Sub-Category" ma:default="N/A" ma:format="Dropdown" ma:internalName="Sub_x002d_Category">
      <xsd:simpleType>
        <xsd:restriction base="dms:Choice">
          <xsd:enumeration value="N/A"/>
          <xsd:enumeration value="APM 01. OVERVIEW"/>
          <xsd:enumeration value="APM 02. SECURITY &amp; AUTHORITIES"/>
          <xsd:enumeration value="APM 03. ACCOUNTING"/>
          <xsd:enumeration value="APM 04. FIN TRANSACTIONS &amp; BATCH PROCESSING"/>
          <xsd:enumeration value="APM 05. BUDGETS"/>
          <xsd:enumeration value="APM 06. REVENUE"/>
          <xsd:enumeration value="APM 07. EXPENDITURE OPEN ITEMS"/>
          <xsd:enumeration value="APM 08. PAYMENTS"/>
          <xsd:enumeration value="APM 09. JOURNAL ENTRIES"/>
          <xsd:enumeration value="APM 10. VENDORS"/>
          <xsd:enumeration value="APM 11. TRAVEL, MILEAGE &amp; MOVING"/>
          <xsd:enumeration value="APM 12. RSAs"/>
          <xsd:enumeration value="APM 13. FUND ACCOUNTING"/>
          <xsd:enumeration value="APM 14. SPECIAL PROCESSES"/>
          <xsd:enumeration value="APM 15. CASH"/>
          <xsd:enumeration value="APM 16. AUTOPAY"/>
          <xsd:enumeration value="APM 17. REPORTS"/>
          <xsd:enumeration value="APM XX. APPENDIX &amp; GLOSSARY"/>
          <xsd:enumeration value="PPM 01. OVERVIEW"/>
          <xsd:enumeration value="PPM 02. AKPAY FEATURES"/>
          <xsd:enumeration value="PPM 03. AKPAY SECURITY"/>
          <xsd:enumeration value="PPM 04. POSITION CONTROL"/>
          <xsd:enumeration value="PPM 05. APPOINTMENTS"/>
          <xsd:enumeration value="PPM 06. PAYROLL CHANGE ACTIONS"/>
          <xsd:enumeration value="PPM 07. SEPARATION OR INACTIVE STATUS"/>
          <xsd:enumeration value="PPM 08. LABOR DISTRIBUTION"/>
          <xsd:enumeration value="PPM 09. AUTOMATIC EARNINGS AND PRETAX DEDC"/>
          <xsd:enumeration value="PPM 10. EE DEDC AND ER CHARGES"/>
          <xsd:enumeration value="PPM 11. TIME AND ATTENANCE"/>
          <xsd:enumeration value="PPM 12. LEAVE ACCOUNTING"/>
          <xsd:enumeration value="PPM 13. SPECIAL PROCESSES"/>
          <xsd:enumeration value="PPM 14. ER/EE VERIFICATION"/>
          <xsd:enumeration value="PPM 15. AKPAY REPORTS"/>
          <xsd:enumeration value="PPM 16. AKPAY ACCUM AND HISTORY"/>
          <xsd:enumeration value="PPM 17. AKPAY INTERFACES"/>
          <xsd:enumeration value="PPM 99. APPENDIX"/>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ransmittal xmlns="ba4ef42b-c21f-46cc-99e7-9c72f716c827" xsi:nil="true"/>
    <DOF_Category xmlns="5cda0204-0e5f-48ab-93e9-41c8cd34521f">Form</DOF_Category>
    <Category xmlns="ba4ef42b-c21f-46cc-99e7-9c72f716c827">Payroll</Category>
    <Web_x0020_Source_x0020_Folder xmlns="ba4ef42b-c21f-46cc-99e7-9c72f716c827">forms</Web_x0020_Source_x0020_Folder>
    <Sub_x002d_Category xmlns="ba4ef42b-c21f-46cc-99e7-9c72f716c827">N/A</Sub_x002d_Category>
    <Web_x0020_Server xmlns="ba4ef42b-c21f-46cc-99e7-9c72f716c827">doaweb</Web_x0020_Server>
  </documentManagement>
</p:properties>
</file>

<file path=customXml/itemProps1.xml><?xml version="1.0" encoding="utf-8"?>
<ds:datastoreItem xmlns:ds="http://schemas.openxmlformats.org/officeDocument/2006/customXml" ds:itemID="{277EC05B-1294-41E0-8192-1DE0ADF2A3E6}">
  <ds:schemaRefs>
    <ds:schemaRef ds:uri="http://schemas.microsoft.com/office/2006/metadata/longProperties"/>
  </ds:schemaRefs>
</ds:datastoreItem>
</file>

<file path=customXml/itemProps2.xml><?xml version="1.0" encoding="utf-8"?>
<ds:datastoreItem xmlns:ds="http://schemas.openxmlformats.org/officeDocument/2006/customXml" ds:itemID="{9AE549B2-0B87-46E8-91C4-F4E6F587C672}">
  <ds:schemaRefs>
    <ds:schemaRef ds:uri="http://schemas.microsoft.com/sharepoint/v3/contenttype/forms"/>
  </ds:schemaRefs>
</ds:datastoreItem>
</file>

<file path=customXml/itemProps3.xml><?xml version="1.0" encoding="utf-8"?>
<ds:datastoreItem xmlns:ds="http://schemas.openxmlformats.org/officeDocument/2006/customXml" ds:itemID="{B528901B-CBE0-4319-9AC5-2AC6FCE725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da0204-0e5f-48ab-93e9-41c8cd34521f"/>
    <ds:schemaRef ds:uri="ba4ef42b-c21f-46cc-99e7-9c72f716c8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66097C7-108C-4206-BB63-AE7D8DF15606}">
  <ds:schemaRefs>
    <ds:schemaRef ds:uri="http://schemas.microsoft.com/office/2006/metadata/properties"/>
    <ds:schemaRef ds:uri="http://schemas.microsoft.com/office/infopath/2007/PartnerControls"/>
    <ds:schemaRef ds:uri="ba4ef42b-c21f-46cc-99e7-9c72f716c827"/>
    <ds:schemaRef ds:uri="5cda0204-0e5f-48ab-93e9-41c8cd34521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Instructions</vt:lpstr>
      <vt:lpstr>Estimator</vt:lpstr>
      <vt:lpstr>Post_2020</vt:lpstr>
      <vt:lpstr>Pre_2020</vt:lpstr>
      <vt:lpstr>Estimator!Print_Area</vt:lpstr>
      <vt:lpstr>W4Line5</vt:lpstr>
      <vt:lpstr>W4Step2</vt:lpstr>
    </vt:vector>
  </TitlesOfParts>
  <Company>State of Alaska, ADMIN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Netpay Estimator - Bi-weekly</dc:title>
  <dc:creator>Payroll, Division of Finance, Department of Administration, State of Alaska</dc:creator>
  <cp:lastModifiedBy>Amanda Thomas</cp:lastModifiedBy>
  <cp:lastPrinted>2022-01-31T00:33:19Z</cp:lastPrinted>
  <dcterms:created xsi:type="dcterms:W3CDTF">2006-01-11T19:08:31Z</dcterms:created>
  <dcterms:modified xsi:type="dcterms:W3CDTF">2022-01-31T00:33:54Z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0x010100297C022E9BF2504E9774C2803284E097</vt:lpwstr>
  </property>
</Properties>
</file>