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VEL\E-Travel\Savings reports\Medicaid\FY 2016\"/>
    </mc:Choice>
  </mc:AlternateContent>
  <bookViews>
    <workbookView xWindow="15" yWindow="15" windowWidth="18405" windowHeight="11190" activeTab="1"/>
  </bookViews>
  <sheets>
    <sheet name="Cost Report Codes" sheetId="16" r:id="rId1"/>
    <sheet name="FY 2016" sheetId="24" r:id="rId2"/>
    <sheet name="FY 2015" sheetId="23" state="hidden" r:id="rId3"/>
    <sheet name="FY 2014" sheetId="19" state="hidden" r:id="rId4"/>
    <sheet name="FY 2013" sheetId="17" state="hidden" r:id="rId5"/>
    <sheet name="FY 2012" sheetId="15" state="hidden" r:id="rId6"/>
    <sheet name="FY 2011" sheetId="14" state="hidden" r:id="rId7"/>
    <sheet name="FY 2010" sheetId="13" state="hidden" r:id="rId8"/>
    <sheet name="FY 2009" sheetId="7" state="hidden" r:id="rId9"/>
    <sheet name="FY 2008" sheetId="5" state="hidden" r:id="rId10"/>
    <sheet name="FY 2007" sheetId="4" state="hidden" r:id="rId11"/>
    <sheet name="FY 2006" sheetId="2" state="hidden" r:id="rId12"/>
    <sheet name="FY 2005" sheetId="1" state="hidden" r:id="rId13"/>
  </sheets>
  <definedNames>
    <definedName name="_xlnm.Print_Area" localSheetId="10">'FY 2007'!$A$2:$AA$33</definedName>
    <definedName name="_xlnm.Print_Area" localSheetId="9">'FY 2008'!$A$2:$AA$32</definedName>
    <definedName name="_xlnm.Print_Area" localSheetId="8">'FY 2009'!$A$2:$AA$32</definedName>
    <definedName name="_xlnm.Print_Area" localSheetId="7">'FY 2010'!$A$1:$AA$25</definedName>
    <definedName name="_xlnm.Print_Area" localSheetId="6">'FY 2011'!$A$1:$AA$26</definedName>
    <definedName name="_xlnm.Print_Area" localSheetId="5">'FY 2012'!$A$1:$AA$34</definedName>
  </definedNames>
  <calcPr calcId="152511"/>
</workbook>
</file>

<file path=xl/calcChain.xml><?xml version="1.0" encoding="utf-8"?>
<calcChain xmlns="http://schemas.openxmlformats.org/spreadsheetml/2006/main">
  <c r="Y8" i="24" l="1"/>
  <c r="X15" i="24"/>
  <c r="Y15" i="24"/>
  <c r="Y21" i="24" s="1"/>
  <c r="Y17" i="24"/>
  <c r="AA17" i="24" s="1"/>
  <c r="Y18" i="24"/>
  <c r="Y24" i="24" s="1"/>
  <c r="C17" i="24"/>
  <c r="E17" i="24"/>
  <c r="G17" i="24"/>
  <c r="I17" i="24"/>
  <c r="K17" i="24"/>
  <c r="M17" i="24"/>
  <c r="O17" i="24"/>
  <c r="Q17" i="24"/>
  <c r="S17" i="24"/>
  <c r="U17" i="24"/>
  <c r="W17" i="24"/>
  <c r="Z13" i="24" l="1"/>
  <c r="AA13" i="24"/>
  <c r="Z14" i="24"/>
  <c r="AA14" i="24"/>
  <c r="AA20" i="23" l="1"/>
  <c r="W17" i="23"/>
  <c r="S17" i="23"/>
  <c r="O17" i="23"/>
  <c r="K17" i="23"/>
  <c r="G17" i="23"/>
  <c r="E17" i="23"/>
  <c r="C17" i="23"/>
  <c r="Y15" i="23"/>
  <c r="Y18" i="23" s="1"/>
  <c r="X15" i="23"/>
  <c r="W15" i="23"/>
  <c r="V15" i="23"/>
  <c r="U15" i="23"/>
  <c r="U21" i="23" s="1"/>
  <c r="T15" i="23"/>
  <c r="S15" i="23"/>
  <c r="S21" i="23" s="1"/>
  <c r="R15" i="23"/>
  <c r="Q15" i="23"/>
  <c r="Q18" i="23" s="1"/>
  <c r="P15" i="23"/>
  <c r="O15" i="23"/>
  <c r="N15" i="23"/>
  <c r="M15" i="23"/>
  <c r="M21" i="23" s="1"/>
  <c r="L15" i="23"/>
  <c r="K15" i="23"/>
  <c r="K21" i="23" s="1"/>
  <c r="J15" i="23"/>
  <c r="I15" i="23"/>
  <c r="I18" i="23" s="1"/>
  <c r="H15" i="23"/>
  <c r="G15" i="23"/>
  <c r="F15" i="23"/>
  <c r="E15" i="23"/>
  <c r="E21" i="23" s="1"/>
  <c r="D15" i="23"/>
  <c r="C15" i="23"/>
  <c r="B15" i="23"/>
  <c r="Z15" i="23" s="1"/>
  <c r="AA14" i="23"/>
  <c r="Z14" i="23"/>
  <c r="AA13" i="23"/>
  <c r="Z13" i="23"/>
  <c r="AA12" i="23"/>
  <c r="Z12" i="23"/>
  <c r="AA11" i="23"/>
  <c r="Z11" i="23"/>
  <c r="Y8" i="23"/>
  <c r="W8" i="23"/>
  <c r="U8" i="23"/>
  <c r="S8" i="23"/>
  <c r="Q8" i="23"/>
  <c r="O8" i="23"/>
  <c r="M8" i="23"/>
  <c r="K8" i="23"/>
  <c r="I8" i="23"/>
  <c r="G8" i="23"/>
  <c r="E8" i="23"/>
  <c r="C8" i="23"/>
  <c r="AA7" i="23"/>
  <c r="AA6" i="23"/>
  <c r="Z5" i="23"/>
  <c r="AA15" i="23" l="1"/>
  <c r="AA21" i="23" s="1"/>
  <c r="AA8" i="23"/>
  <c r="AA17" i="23"/>
  <c r="G18" i="23"/>
  <c r="G24" i="23" s="1"/>
  <c r="O18" i="23"/>
  <c r="O24" i="23" s="1"/>
  <c r="W18" i="23"/>
  <c r="W24" i="23" s="1"/>
  <c r="I24" i="23"/>
  <c r="Q24" i="23"/>
  <c r="Y24" i="23"/>
  <c r="Q21" i="23"/>
  <c r="C18" i="23"/>
  <c r="K18" i="23"/>
  <c r="K24" i="23" s="1"/>
  <c r="S18" i="23"/>
  <c r="S24" i="23" s="1"/>
  <c r="G21" i="23"/>
  <c r="O21" i="23"/>
  <c r="W21" i="23"/>
  <c r="E18" i="23"/>
  <c r="E24" i="23" s="1"/>
  <c r="U18" i="23"/>
  <c r="U24" i="23" s="1"/>
  <c r="I21" i="23"/>
  <c r="Y21" i="23"/>
  <c r="C21" i="23"/>
  <c r="M18" i="23"/>
  <c r="M24" i="23" s="1"/>
  <c r="C24" i="23" l="1"/>
  <c r="AA18" i="23"/>
  <c r="AA24" i="23" s="1"/>
  <c r="AA20" i="24" l="1"/>
  <c r="W15" i="24"/>
  <c r="W18" i="24" s="1"/>
  <c r="V15" i="24"/>
  <c r="U15" i="24"/>
  <c r="U21" i="24" s="1"/>
  <c r="T15" i="24"/>
  <c r="S15" i="24"/>
  <c r="S21" i="24" s="1"/>
  <c r="R15" i="24"/>
  <c r="Q15" i="24"/>
  <c r="Q18" i="24" s="1"/>
  <c r="P15" i="24"/>
  <c r="O15" i="24"/>
  <c r="O18" i="24" s="1"/>
  <c r="N15" i="24"/>
  <c r="M15" i="24"/>
  <c r="M21" i="24" s="1"/>
  <c r="L15" i="24"/>
  <c r="K15" i="24"/>
  <c r="K21" i="24" s="1"/>
  <c r="J15" i="24"/>
  <c r="I15" i="24"/>
  <c r="I18" i="24" s="1"/>
  <c r="H15" i="24"/>
  <c r="G15" i="24"/>
  <c r="G18" i="24" s="1"/>
  <c r="F15" i="24"/>
  <c r="E15" i="24"/>
  <c r="E21" i="24" s="1"/>
  <c r="D15" i="24"/>
  <c r="C15" i="24"/>
  <c r="B15" i="24"/>
  <c r="AA12" i="24"/>
  <c r="Z12" i="24"/>
  <c r="AA11" i="24"/>
  <c r="Z11" i="24"/>
  <c r="W8" i="24"/>
  <c r="U8" i="24"/>
  <c r="S8" i="24"/>
  <c r="Q8" i="24"/>
  <c r="O8" i="24"/>
  <c r="M8" i="24"/>
  <c r="K8" i="24"/>
  <c r="I8" i="24"/>
  <c r="G8" i="24"/>
  <c r="E8" i="24"/>
  <c r="C8" i="24"/>
  <c r="AA7" i="24"/>
  <c r="AA6" i="24"/>
  <c r="Z5" i="24"/>
  <c r="G24" i="24" l="1"/>
  <c r="O24" i="24"/>
  <c r="W24" i="24"/>
  <c r="AA15" i="24"/>
  <c r="AA21" i="24" s="1"/>
  <c r="K18" i="24"/>
  <c r="K24" i="24" s="1"/>
  <c r="Z15" i="24"/>
  <c r="S18" i="24"/>
  <c r="S24" i="24" s="1"/>
  <c r="W21" i="24"/>
  <c r="I24" i="24"/>
  <c r="Q24" i="24"/>
  <c r="AA8" i="24"/>
  <c r="O21" i="24"/>
  <c r="M18" i="24"/>
  <c r="M24" i="24" s="1"/>
  <c r="U18" i="24"/>
  <c r="U24" i="24" s="1"/>
  <c r="C18" i="24"/>
  <c r="G21" i="24"/>
  <c r="E18" i="24"/>
  <c r="E24" i="24" s="1"/>
  <c r="I21" i="24"/>
  <c r="Q21" i="24"/>
  <c r="C21" i="24"/>
  <c r="C24" i="24" l="1"/>
  <c r="AA18" i="24"/>
  <c r="AA24" i="24" s="1"/>
  <c r="AA7" i="19" l="1"/>
  <c r="O10" i="17" l="1"/>
  <c r="Q10" i="17"/>
  <c r="S10" i="17"/>
  <c r="U10" i="17"/>
  <c r="W10" i="17"/>
  <c r="Y10" i="17"/>
  <c r="N19" i="17"/>
  <c r="O19" i="17"/>
  <c r="O22" i="17" s="1"/>
  <c r="P19" i="17"/>
  <c r="Q19" i="17"/>
  <c r="Q22" i="17" s="1"/>
  <c r="R19" i="17"/>
  <c r="S19" i="17"/>
  <c r="S22" i="17" s="1"/>
  <c r="T19" i="17"/>
  <c r="U19" i="17"/>
  <c r="U25" i="17" s="1"/>
  <c r="V19" i="17"/>
  <c r="W19" i="17"/>
  <c r="W22" i="17" s="1"/>
  <c r="X19" i="17"/>
  <c r="Y19" i="17"/>
  <c r="Y22" i="17" s="1"/>
  <c r="S25" i="17"/>
  <c r="O10" i="15"/>
  <c r="O26" i="15" s="1"/>
  <c r="Q10" i="15"/>
  <c r="S10" i="15"/>
  <c r="U10" i="15"/>
  <c r="W10" i="15"/>
  <c r="Y10" i="15"/>
  <c r="N20" i="15"/>
  <c r="O20" i="15"/>
  <c r="O23" i="15" s="1"/>
  <c r="P20" i="15"/>
  <c r="Q20" i="15"/>
  <c r="Q23" i="15" s="1"/>
  <c r="R20" i="15"/>
  <c r="S20" i="15"/>
  <c r="S26" i="15" s="1"/>
  <c r="T20" i="15"/>
  <c r="U20" i="15"/>
  <c r="U23" i="15" s="1"/>
  <c r="V20" i="15"/>
  <c r="W20" i="15"/>
  <c r="W23" i="15" s="1"/>
  <c r="X20" i="15"/>
  <c r="Y20" i="15"/>
  <c r="Y23" i="15" s="1"/>
  <c r="Q26" i="15"/>
  <c r="O8" i="14"/>
  <c r="O10" i="14" s="1"/>
  <c r="O12" i="14" s="1"/>
  <c r="Q8" i="14"/>
  <c r="Q10" i="14" s="1"/>
  <c r="Q12" i="14" s="1"/>
  <c r="S8" i="14"/>
  <c r="S10" i="14" s="1"/>
  <c r="S12" i="14" s="1"/>
  <c r="U8" i="14"/>
  <c r="U10" i="14" s="1"/>
  <c r="U12" i="14" s="1"/>
  <c r="W8" i="14"/>
  <c r="W10" i="14" s="1"/>
  <c r="W12" i="14" s="1"/>
  <c r="Y8" i="14"/>
  <c r="Y10" i="14" s="1"/>
  <c r="Y12" i="14" s="1"/>
  <c r="O17" i="14"/>
  <c r="Q17" i="14"/>
  <c r="S17" i="14"/>
  <c r="U17" i="14"/>
  <c r="W17" i="14"/>
  <c r="Y17" i="14"/>
  <c r="N21" i="14"/>
  <c r="P21" i="14"/>
  <c r="R21" i="14"/>
  <c r="T21" i="14"/>
  <c r="V21" i="14"/>
  <c r="X21" i="14"/>
  <c r="O25" i="17" l="1"/>
  <c r="Y25" i="17"/>
  <c r="W19" i="14"/>
  <c r="W22" i="14" s="1"/>
  <c r="U22" i="17"/>
  <c r="W26" i="15"/>
  <c r="Q25" i="17"/>
  <c r="W25" i="17"/>
  <c r="U26" i="15"/>
  <c r="Y26" i="15"/>
  <c r="S23" i="15"/>
  <c r="O19" i="14"/>
  <c r="O22" i="14" s="1"/>
  <c r="Y19" i="14"/>
  <c r="Y22" i="14" s="1"/>
  <c r="Q19" i="14"/>
  <c r="Q22" i="14" s="1"/>
  <c r="U19" i="14"/>
  <c r="U22" i="14" s="1"/>
  <c r="S19" i="14"/>
  <c r="S22" i="14" s="1"/>
  <c r="C9" i="19"/>
  <c r="E9" i="19"/>
  <c r="G9" i="19"/>
  <c r="B18" i="19"/>
  <c r="C18" i="19"/>
  <c r="C21" i="19" s="1"/>
  <c r="D18" i="19"/>
  <c r="E18" i="19"/>
  <c r="E21" i="19" s="1"/>
  <c r="F18" i="19"/>
  <c r="G18" i="19"/>
  <c r="G21" i="19" s="1"/>
  <c r="C24" i="19" l="1"/>
  <c r="E24" i="19"/>
  <c r="G24" i="19"/>
  <c r="AA20" i="19"/>
  <c r="Y18" i="19"/>
  <c r="Y21" i="19" s="1"/>
  <c r="X18" i="19"/>
  <c r="W18" i="19"/>
  <c r="W21" i="19" s="1"/>
  <c r="V18" i="19"/>
  <c r="U18" i="19"/>
  <c r="T18" i="19"/>
  <c r="S18" i="19"/>
  <c r="S21" i="19" s="1"/>
  <c r="R18" i="19"/>
  <c r="Q18" i="19"/>
  <c r="Q21" i="19" s="1"/>
  <c r="P18" i="19"/>
  <c r="O18" i="19"/>
  <c r="O21" i="19" s="1"/>
  <c r="N18" i="19"/>
  <c r="M18" i="19"/>
  <c r="L18" i="19"/>
  <c r="K18" i="19"/>
  <c r="K21" i="19" s="1"/>
  <c r="J18" i="19"/>
  <c r="I18" i="19"/>
  <c r="I21" i="19" s="1"/>
  <c r="H18" i="19"/>
  <c r="AA17" i="19"/>
  <c r="Z17" i="19"/>
  <c r="AA16" i="19"/>
  <c r="Z16" i="19"/>
  <c r="AA15" i="19"/>
  <c r="Z15" i="19"/>
  <c r="AA14" i="19"/>
  <c r="Z14" i="19"/>
  <c r="AA13" i="19"/>
  <c r="Z13" i="19"/>
  <c r="AA12" i="19"/>
  <c r="Z12" i="19"/>
  <c r="Y9" i="19"/>
  <c r="W9" i="19"/>
  <c r="U9" i="19"/>
  <c r="S9" i="19"/>
  <c r="Q9" i="19"/>
  <c r="O9" i="19"/>
  <c r="M9" i="19"/>
  <c r="K9" i="19"/>
  <c r="I9" i="19"/>
  <c r="AA8" i="19"/>
  <c r="Z6" i="19"/>
  <c r="AA21" i="17"/>
  <c r="M19" i="17"/>
  <c r="M22" i="17" s="1"/>
  <c r="L19" i="17"/>
  <c r="K19" i="17"/>
  <c r="K22" i="17" s="1"/>
  <c r="J19" i="17"/>
  <c r="I19" i="17"/>
  <c r="I22" i="17" s="1"/>
  <c r="H19" i="17"/>
  <c r="G19" i="17"/>
  <c r="G22" i="17" s="1"/>
  <c r="F19" i="17"/>
  <c r="E19" i="17"/>
  <c r="E22" i="17" s="1"/>
  <c r="D19" i="17"/>
  <c r="C19" i="17"/>
  <c r="B19" i="17"/>
  <c r="AA18" i="17"/>
  <c r="Z18" i="17"/>
  <c r="AA17" i="17"/>
  <c r="Z17" i="17"/>
  <c r="AA16" i="17"/>
  <c r="Z16" i="17"/>
  <c r="AA15" i="17"/>
  <c r="Z15" i="17"/>
  <c r="AA14" i="17"/>
  <c r="Z14" i="17"/>
  <c r="AA13" i="17"/>
  <c r="Z13" i="17"/>
  <c r="M10" i="17"/>
  <c r="K10" i="17"/>
  <c r="I10" i="17"/>
  <c r="G10" i="17"/>
  <c r="E10" i="17"/>
  <c r="C10" i="17"/>
  <c r="AA9" i="17"/>
  <c r="AA8" i="17"/>
  <c r="Z7" i="17"/>
  <c r="Z13" i="15"/>
  <c r="Z14" i="15"/>
  <c r="Z15" i="15"/>
  <c r="Z16" i="15"/>
  <c r="Z17" i="15"/>
  <c r="AA14" i="15"/>
  <c r="AA15" i="15"/>
  <c r="AA16" i="15"/>
  <c r="AA17" i="15"/>
  <c r="AA13" i="15"/>
  <c r="D20" i="15"/>
  <c r="E20" i="15"/>
  <c r="E23" i="15" s="1"/>
  <c r="C20" i="15"/>
  <c r="C23" i="15" s="1"/>
  <c r="F20" i="15"/>
  <c r="G20" i="15"/>
  <c r="H20" i="15"/>
  <c r="I20" i="15"/>
  <c r="J20" i="15"/>
  <c r="K20" i="15"/>
  <c r="L20" i="15"/>
  <c r="M20" i="15"/>
  <c r="B20" i="15"/>
  <c r="AA18" i="15"/>
  <c r="AA19" i="15"/>
  <c r="Z18" i="15"/>
  <c r="Z19" i="15"/>
  <c r="AA22" i="15"/>
  <c r="Z7" i="15"/>
  <c r="AA18" i="19" l="1"/>
  <c r="AA21" i="19" s="1"/>
  <c r="Z18" i="19"/>
  <c r="U24" i="19"/>
  <c r="S24" i="19"/>
  <c r="AA9" i="19"/>
  <c r="M24" i="19"/>
  <c r="K24" i="19"/>
  <c r="M21" i="19"/>
  <c r="U21" i="19"/>
  <c r="I24" i="19"/>
  <c r="Q24" i="19"/>
  <c r="Y24" i="19"/>
  <c r="O24" i="19"/>
  <c r="W24" i="19"/>
  <c r="M25" i="17"/>
  <c r="E25" i="17"/>
  <c r="AA19" i="17"/>
  <c r="AA22" i="17" s="1"/>
  <c r="Z19" i="17"/>
  <c r="AA10" i="17"/>
  <c r="C25" i="17"/>
  <c r="K25" i="17"/>
  <c r="C22" i="17"/>
  <c r="I25" i="17"/>
  <c r="G25" i="17"/>
  <c r="K23" i="15"/>
  <c r="M23" i="15"/>
  <c r="G23" i="15"/>
  <c r="I23" i="15"/>
  <c r="Z20" i="15"/>
  <c r="M10" i="15"/>
  <c r="M26" i="15" s="1"/>
  <c r="K10" i="15"/>
  <c r="K26" i="15" s="1"/>
  <c r="I10" i="15"/>
  <c r="I26" i="15" s="1"/>
  <c r="G10" i="15"/>
  <c r="G26" i="15" s="1"/>
  <c r="E10" i="15"/>
  <c r="E26" i="15" s="1"/>
  <c r="C10" i="15"/>
  <c r="C26" i="15" s="1"/>
  <c r="AA9" i="15"/>
  <c r="AA8" i="15"/>
  <c r="Z6" i="14"/>
  <c r="Z7" i="14"/>
  <c r="K9" i="14"/>
  <c r="J9" i="14"/>
  <c r="J21" i="14" s="1"/>
  <c r="I9" i="14"/>
  <c r="H9" i="14"/>
  <c r="H21" i="14" s="1"/>
  <c r="G9" i="14"/>
  <c r="F9" i="14"/>
  <c r="F21" i="14" s="1"/>
  <c r="G8" i="14"/>
  <c r="I8" i="14"/>
  <c r="K8" i="14"/>
  <c r="K10" i="14" s="1"/>
  <c r="K12" i="14" s="1"/>
  <c r="M8" i="14"/>
  <c r="M10" i="14" s="1"/>
  <c r="M12" i="14" s="1"/>
  <c r="E9" i="14"/>
  <c r="D9" i="14"/>
  <c r="D21" i="14" s="1"/>
  <c r="E8" i="14"/>
  <c r="C8" i="14"/>
  <c r="C9" i="14"/>
  <c r="B9" i="14"/>
  <c r="B21" i="14" s="1"/>
  <c r="AA21" i="14"/>
  <c r="L21" i="14"/>
  <c r="Z17" i="14"/>
  <c r="M17" i="14"/>
  <c r="K17" i="14"/>
  <c r="I17" i="14"/>
  <c r="G17" i="14"/>
  <c r="E17" i="14"/>
  <c r="C17" i="14"/>
  <c r="AA16" i="14"/>
  <c r="AA15" i="14"/>
  <c r="AA11" i="14"/>
  <c r="AA7" i="14"/>
  <c r="AA6" i="14"/>
  <c r="Y8" i="13"/>
  <c r="Y9" i="13" s="1"/>
  <c r="Y11" i="13" s="1"/>
  <c r="X8" i="13"/>
  <c r="X20" i="13" s="1"/>
  <c r="W8" i="13"/>
  <c r="W9" i="13" s="1"/>
  <c r="W11" i="13" s="1"/>
  <c r="V8" i="13"/>
  <c r="V20" i="13" s="1"/>
  <c r="U8" i="13"/>
  <c r="U9" i="13" s="1"/>
  <c r="U11" i="13" s="1"/>
  <c r="T8" i="13"/>
  <c r="T20" i="13" s="1"/>
  <c r="S8" i="13"/>
  <c r="S9" i="13" s="1"/>
  <c r="S11" i="13" s="1"/>
  <c r="R8" i="13"/>
  <c r="R20" i="13" s="1"/>
  <c r="P20" i="13"/>
  <c r="N20" i="13"/>
  <c r="L20" i="13"/>
  <c r="J20" i="13"/>
  <c r="H20" i="13"/>
  <c r="F20" i="13"/>
  <c r="D20" i="13"/>
  <c r="B20" i="13"/>
  <c r="Q9" i="13"/>
  <c r="Q11" i="13" s="1"/>
  <c r="O9" i="13"/>
  <c r="O11" i="13" s="1"/>
  <c r="M9" i="13"/>
  <c r="M11" i="13" s="1"/>
  <c r="K9" i="13"/>
  <c r="K11" i="13" s="1"/>
  <c r="I9" i="13"/>
  <c r="I11" i="13" s="1"/>
  <c r="G9" i="13"/>
  <c r="G11" i="13" s="1"/>
  <c r="E9" i="13"/>
  <c r="E11" i="13" s="1"/>
  <c r="C9" i="13"/>
  <c r="C11" i="13" s="1"/>
  <c r="AA20" i="13"/>
  <c r="Z16" i="13"/>
  <c r="Y16" i="13"/>
  <c r="W16" i="13"/>
  <c r="U16" i="13"/>
  <c r="S16" i="13"/>
  <c r="Q16" i="13"/>
  <c r="O16" i="13"/>
  <c r="M16" i="13"/>
  <c r="K16" i="13"/>
  <c r="I16" i="13"/>
  <c r="G16" i="13"/>
  <c r="E16" i="13"/>
  <c r="C16" i="13"/>
  <c r="AA15" i="13"/>
  <c r="AA14" i="13"/>
  <c r="AA10" i="13"/>
  <c r="AA7" i="13"/>
  <c r="Z7" i="13"/>
  <c r="AA6" i="13"/>
  <c r="Z6" i="13"/>
  <c r="Y18" i="7"/>
  <c r="Z8" i="7"/>
  <c r="O8" i="7"/>
  <c r="AA8" i="7" s="1"/>
  <c r="W18" i="7"/>
  <c r="U11" i="7"/>
  <c r="U13" i="7" s="1"/>
  <c r="U18" i="7"/>
  <c r="E10" i="7"/>
  <c r="E11" i="7" s="1"/>
  <c r="E13" i="7" s="1"/>
  <c r="G10" i="7"/>
  <c r="I10" i="7"/>
  <c r="K10" i="7"/>
  <c r="K11" i="7" s="1"/>
  <c r="K13" i="7" s="1"/>
  <c r="M10" i="7"/>
  <c r="O10" i="7"/>
  <c r="Q10" i="7"/>
  <c r="Q11" i="7" s="1"/>
  <c r="Q13" i="7" s="1"/>
  <c r="Q20" i="7" s="1"/>
  <c r="Q28" i="7" s="1"/>
  <c r="S10" i="7"/>
  <c r="S11" i="7" s="1"/>
  <c r="S13" i="7" s="1"/>
  <c r="S18" i="7"/>
  <c r="X27" i="7"/>
  <c r="V27" i="7"/>
  <c r="T27" i="7"/>
  <c r="R10" i="7"/>
  <c r="R27" i="7" s="1"/>
  <c r="P10" i="7"/>
  <c r="P27" i="7" s="1"/>
  <c r="Q18" i="7"/>
  <c r="O18" i="7"/>
  <c r="N10" i="7"/>
  <c r="N27" i="7" s="1"/>
  <c r="M18" i="7"/>
  <c r="L10" i="7"/>
  <c r="L27" i="7" s="1"/>
  <c r="K18" i="7"/>
  <c r="J10" i="7"/>
  <c r="J27" i="7" s="1"/>
  <c r="H10" i="7"/>
  <c r="H27" i="7" s="1"/>
  <c r="I18" i="7"/>
  <c r="D25" i="4"/>
  <c r="F25" i="4"/>
  <c r="H25" i="4"/>
  <c r="J25" i="4"/>
  <c r="L25" i="4"/>
  <c r="N25" i="4"/>
  <c r="P25" i="4"/>
  <c r="R25" i="4"/>
  <c r="T25" i="4"/>
  <c r="V25" i="4"/>
  <c r="X25" i="4"/>
  <c r="B25" i="4"/>
  <c r="R25" i="5"/>
  <c r="T25" i="5"/>
  <c r="V25" i="5"/>
  <c r="X25" i="5"/>
  <c r="J25" i="7"/>
  <c r="L25" i="7"/>
  <c r="Z7" i="7"/>
  <c r="Z24" i="7"/>
  <c r="H25" i="7"/>
  <c r="F25" i="7"/>
  <c r="D25" i="7"/>
  <c r="B25" i="7"/>
  <c r="Z18" i="7"/>
  <c r="G18" i="7"/>
  <c r="G11" i="7"/>
  <c r="G13" i="7" s="1"/>
  <c r="F10" i="7"/>
  <c r="F27" i="7" s="1"/>
  <c r="D10" i="7"/>
  <c r="D27" i="7" s="1"/>
  <c r="E18" i="7"/>
  <c r="C18" i="7"/>
  <c r="AA7" i="7"/>
  <c r="Z9" i="7"/>
  <c r="AA9" i="7"/>
  <c r="C11" i="7"/>
  <c r="C13" i="7" s="1"/>
  <c r="C20" i="7" s="1"/>
  <c r="C28" i="7" s="1"/>
  <c r="I11" i="7"/>
  <c r="I13" i="7" s="1"/>
  <c r="I20" i="7" s="1"/>
  <c r="I28" i="7" s="1"/>
  <c r="M11" i="7"/>
  <c r="M13" i="7" s="1"/>
  <c r="M20" i="7" s="1"/>
  <c r="M28" i="7" s="1"/>
  <c r="O11" i="7"/>
  <c r="O13" i="7" s="1"/>
  <c r="W11" i="7"/>
  <c r="W13" i="7" s="1"/>
  <c r="W20" i="7" s="1"/>
  <c r="W28" i="7" s="1"/>
  <c r="Y11" i="7"/>
  <c r="Y13" i="7" s="1"/>
  <c r="AA12" i="7"/>
  <c r="AA16" i="7"/>
  <c r="AA17" i="7"/>
  <c r="B27" i="7"/>
  <c r="AA27" i="7"/>
  <c r="W10" i="5"/>
  <c r="W11" i="5" s="1"/>
  <c r="W13" i="5" s="1"/>
  <c r="V10" i="5"/>
  <c r="U10" i="5"/>
  <c r="U11" i="5" s="1"/>
  <c r="U13" i="5" s="1"/>
  <c r="AA9" i="5"/>
  <c r="AA8" i="5"/>
  <c r="V27" i="5"/>
  <c r="Y10" i="5"/>
  <c r="Y11" i="5" s="1"/>
  <c r="Y13" i="5" s="1"/>
  <c r="X10" i="5"/>
  <c r="X27" i="5" s="1"/>
  <c r="Y18" i="5"/>
  <c r="W18" i="5"/>
  <c r="U18" i="5"/>
  <c r="T10" i="5"/>
  <c r="T27" i="5" s="1"/>
  <c r="S18" i="5"/>
  <c r="S10" i="5"/>
  <c r="S11" i="5" s="1"/>
  <c r="S13" i="5" s="1"/>
  <c r="R10" i="5"/>
  <c r="R27" i="5" s="1"/>
  <c r="P25" i="5"/>
  <c r="Q10" i="5"/>
  <c r="Q11" i="5" s="1"/>
  <c r="Q13" i="5" s="1"/>
  <c r="P10" i="5"/>
  <c r="P27" i="5" s="1"/>
  <c r="Q18" i="5"/>
  <c r="N25" i="5"/>
  <c r="O18" i="5"/>
  <c r="O10" i="5"/>
  <c r="O11" i="5" s="1"/>
  <c r="O13" i="5" s="1"/>
  <c r="N10" i="5"/>
  <c r="N27" i="5" s="1"/>
  <c r="Z8" i="5"/>
  <c r="Z24" i="5"/>
  <c r="J25" i="5"/>
  <c r="H25" i="5"/>
  <c r="L25" i="5"/>
  <c r="F25" i="5"/>
  <c r="D25" i="5"/>
  <c r="B25" i="5"/>
  <c r="M18" i="5"/>
  <c r="M10" i="5"/>
  <c r="M11" i="5" s="1"/>
  <c r="M13" i="5" s="1"/>
  <c r="L10" i="5"/>
  <c r="K10" i="5"/>
  <c r="J27" i="5"/>
  <c r="H10" i="5"/>
  <c r="H27" i="5" s="1"/>
  <c r="I10" i="5"/>
  <c r="I11" i="5" s="1"/>
  <c r="I13" i="5" s="1"/>
  <c r="K18" i="5"/>
  <c r="C10" i="5"/>
  <c r="E10" i="5"/>
  <c r="G10" i="5"/>
  <c r="I18" i="5"/>
  <c r="G18" i="5"/>
  <c r="F10" i="5"/>
  <c r="F27" i="5" s="1"/>
  <c r="D10" i="5"/>
  <c r="D27" i="5" s="1"/>
  <c r="Z18" i="5"/>
  <c r="E18" i="5"/>
  <c r="C18" i="5"/>
  <c r="B10" i="5"/>
  <c r="B27" i="5" s="1"/>
  <c r="Z9" i="5"/>
  <c r="C11" i="5"/>
  <c r="C13" i="5" s="1"/>
  <c r="E11" i="5"/>
  <c r="E13" i="5" s="1"/>
  <c r="G11" i="5"/>
  <c r="K11" i="5"/>
  <c r="K13" i="5" s="1"/>
  <c r="K20" i="5" s="1"/>
  <c r="K28" i="5" s="1"/>
  <c r="AA12" i="5"/>
  <c r="AA16" i="5"/>
  <c r="AA17" i="5"/>
  <c r="L27" i="5"/>
  <c r="AA27" i="5"/>
  <c r="Y10" i="4"/>
  <c r="Y11" i="4" s="1"/>
  <c r="Y13" i="4" s="1"/>
  <c r="Y20" i="4" s="1"/>
  <c r="Y28" i="4" s="1"/>
  <c r="X10" i="4"/>
  <c r="X27" i="4" s="1"/>
  <c r="V10" i="4"/>
  <c r="V27" i="4" s="1"/>
  <c r="W10" i="4"/>
  <c r="U10" i="4"/>
  <c r="U11" i="4" s="1"/>
  <c r="U13" i="4" s="1"/>
  <c r="U20" i="4" s="1"/>
  <c r="U28" i="4" s="1"/>
  <c r="T10" i="4"/>
  <c r="T27" i="4" s="1"/>
  <c r="S10" i="4"/>
  <c r="R10" i="4"/>
  <c r="R27" i="4" s="1"/>
  <c r="P10" i="4"/>
  <c r="P27" i="4" s="1"/>
  <c r="AA27" i="4"/>
  <c r="Z9" i="4"/>
  <c r="Z8" i="4"/>
  <c r="Q10" i="4"/>
  <c r="Q11" i="4" s="1"/>
  <c r="Q13" i="4" s="1"/>
  <c r="Q20" i="4" s="1"/>
  <c r="Q28" i="4" s="1"/>
  <c r="Q18" i="4"/>
  <c r="S18" i="4"/>
  <c r="U18" i="4"/>
  <c r="W18" i="4"/>
  <c r="Y18" i="4"/>
  <c r="S11" i="4"/>
  <c r="S13" i="4" s="1"/>
  <c r="S20" i="4" s="1"/>
  <c r="S28" i="4" s="1"/>
  <c r="W11" i="4"/>
  <c r="W13" i="4" s="1"/>
  <c r="AA17" i="4"/>
  <c r="AA16" i="4"/>
  <c r="AA12" i="4"/>
  <c r="Z18" i="4"/>
  <c r="N10" i="4"/>
  <c r="N27" i="4" s="1"/>
  <c r="O10" i="4"/>
  <c r="O11" i="4" s="1"/>
  <c r="M10" i="4"/>
  <c r="M11" i="4" s="1"/>
  <c r="M13" i="4" s="1"/>
  <c r="L10" i="4"/>
  <c r="J10" i="4"/>
  <c r="K10" i="4"/>
  <c r="K11" i="4" s="1"/>
  <c r="K13" i="4" s="1"/>
  <c r="I10" i="4"/>
  <c r="I11" i="4" s="1"/>
  <c r="I13" i="4" s="1"/>
  <c r="H10" i="4"/>
  <c r="F10" i="4"/>
  <c r="Z10" i="4" s="1"/>
  <c r="G10" i="4"/>
  <c r="D27" i="4"/>
  <c r="B27" i="4"/>
  <c r="C18" i="4"/>
  <c r="E18" i="4"/>
  <c r="G18" i="4"/>
  <c r="I18" i="4"/>
  <c r="K18" i="4"/>
  <c r="M18" i="4"/>
  <c r="O18" i="4"/>
  <c r="E11" i="4"/>
  <c r="E13" i="4" s="1"/>
  <c r="E20" i="4" s="1"/>
  <c r="E28" i="4" s="1"/>
  <c r="G11" i="4"/>
  <c r="G13" i="4" s="1"/>
  <c r="G20" i="4" s="1"/>
  <c r="G28" i="4" s="1"/>
  <c r="C11" i="4"/>
  <c r="C13" i="4" s="1"/>
  <c r="N8" i="2"/>
  <c r="N9" i="2"/>
  <c r="B10" i="2"/>
  <c r="D10" i="2"/>
  <c r="F10" i="2"/>
  <c r="J10" i="2"/>
  <c r="J11" i="2" s="1"/>
  <c r="J13" i="2" s="1"/>
  <c r="K10" i="2"/>
  <c r="K11" i="2" s="1"/>
  <c r="K13" i="2" s="1"/>
  <c r="B12" i="2"/>
  <c r="C12" i="2"/>
  <c r="D12" i="2"/>
  <c r="E12" i="2"/>
  <c r="E13" i="2" s="1"/>
  <c r="E20" i="2" s="1"/>
  <c r="F12" i="2"/>
  <c r="G12" i="2"/>
  <c r="B18" i="2"/>
  <c r="C18" i="2"/>
  <c r="D18" i="2"/>
  <c r="E18" i="2"/>
  <c r="F18" i="2"/>
  <c r="G18" i="2"/>
  <c r="H18" i="2"/>
  <c r="I18" i="2"/>
  <c r="J18" i="2"/>
  <c r="K18" i="2"/>
  <c r="L18" i="2"/>
  <c r="M18" i="2"/>
  <c r="N17" i="2"/>
  <c r="N16" i="2"/>
  <c r="AA9" i="4"/>
  <c r="AA8" i="4"/>
  <c r="H27" i="4"/>
  <c r="J27" i="4"/>
  <c r="L27" i="4"/>
  <c r="Z24" i="4"/>
  <c r="G8" i="1"/>
  <c r="G13" i="1"/>
  <c r="F8" i="1"/>
  <c r="F13" i="1"/>
  <c r="E8" i="1"/>
  <c r="E13" i="1"/>
  <c r="B7" i="1"/>
  <c r="B8" i="1" s="1"/>
  <c r="B13" i="1"/>
  <c r="C7" i="1"/>
  <c r="C8" i="1" s="1"/>
  <c r="C13" i="1"/>
  <c r="D7" i="1"/>
  <c r="D8" i="1" s="1"/>
  <c r="D13" i="1"/>
  <c r="H12" i="1"/>
  <c r="O17" i="2" s="1"/>
  <c r="P17" i="2" s="1"/>
  <c r="AB17" i="4" s="1"/>
  <c r="H11" i="1"/>
  <c r="O16" i="2" s="1"/>
  <c r="H6" i="1"/>
  <c r="O11" i="2"/>
  <c r="C11" i="2"/>
  <c r="D11" i="2"/>
  <c r="D13" i="2" s="1"/>
  <c r="D20" i="2" s="1"/>
  <c r="E11" i="2"/>
  <c r="F11" i="2"/>
  <c r="G11" i="2"/>
  <c r="H11" i="2"/>
  <c r="H13" i="2" s="1"/>
  <c r="H20" i="2" s="1"/>
  <c r="I11" i="2"/>
  <c r="L11" i="2"/>
  <c r="L13" i="2" s="1"/>
  <c r="L20" i="2" s="1"/>
  <c r="M11" i="2"/>
  <c r="M13" i="2" s="1"/>
  <c r="M20" i="2" s="1"/>
  <c r="F13" i="2"/>
  <c r="I13" i="2"/>
  <c r="W20" i="4" l="1"/>
  <c r="W28" i="4" s="1"/>
  <c r="G20" i="7"/>
  <c r="G28" i="7" s="1"/>
  <c r="W20" i="5"/>
  <c r="W28" i="5" s="1"/>
  <c r="Y20" i="7"/>
  <c r="Y28" i="7" s="1"/>
  <c r="AA18" i="7"/>
  <c r="O20" i="7"/>
  <c r="O28" i="7" s="1"/>
  <c r="E20" i="7"/>
  <c r="E28" i="7" s="1"/>
  <c r="AC17" i="4"/>
  <c r="J20" i="2"/>
  <c r="O20" i="5"/>
  <c r="O28" i="5" s="1"/>
  <c r="N10" i="2"/>
  <c r="G15" i="1"/>
  <c r="C13" i="2"/>
  <c r="C20" i="2" s="1"/>
  <c r="Z10" i="7"/>
  <c r="S20" i="7"/>
  <c r="S28" i="7" s="1"/>
  <c r="K20" i="2"/>
  <c r="K20" i="4"/>
  <c r="K28" i="4" s="1"/>
  <c r="F20" i="2"/>
  <c r="B11" i="2"/>
  <c r="B13" i="2" s="1"/>
  <c r="F15" i="1"/>
  <c r="AA10" i="4"/>
  <c r="M20" i="4"/>
  <c r="M28" i="4" s="1"/>
  <c r="C20" i="5"/>
  <c r="C28" i="5" s="1"/>
  <c r="M20" i="5"/>
  <c r="M28" i="5" s="1"/>
  <c r="Z25" i="5"/>
  <c r="Q20" i="5"/>
  <c r="Q28" i="5" s="1"/>
  <c r="S20" i="5"/>
  <c r="S28" i="5" s="1"/>
  <c r="Y20" i="5"/>
  <c r="Y28" i="5" s="1"/>
  <c r="U20" i="5"/>
  <c r="U28" i="5" s="1"/>
  <c r="I18" i="13"/>
  <c r="I21" i="13" s="1"/>
  <c r="C10" i="14"/>
  <c r="Z27" i="5"/>
  <c r="H7" i="1"/>
  <c r="O12" i="2" s="1"/>
  <c r="I20" i="4"/>
  <c r="I28" i="4" s="1"/>
  <c r="AA18" i="5"/>
  <c r="G13" i="2"/>
  <c r="G20" i="2" s="1"/>
  <c r="P16" i="2"/>
  <c r="AB16" i="4" s="1"/>
  <c r="AC16" i="4" s="1"/>
  <c r="Z25" i="4"/>
  <c r="F27" i="4"/>
  <c r="Z27" i="4" s="1"/>
  <c r="AA11" i="5"/>
  <c r="Z10" i="5"/>
  <c r="I20" i="5"/>
  <c r="I28" i="5" s="1"/>
  <c r="I20" i="2"/>
  <c r="AA18" i="4"/>
  <c r="AA10" i="5"/>
  <c r="Z25" i="7"/>
  <c r="U20" i="7"/>
  <c r="U28" i="7" s="1"/>
  <c r="AA24" i="19"/>
  <c r="E20" i="5"/>
  <c r="E28" i="5" s="1"/>
  <c r="O13" i="4"/>
  <c r="O20" i="4" s="1"/>
  <c r="O28" i="4" s="1"/>
  <c r="AA11" i="4"/>
  <c r="C20" i="4"/>
  <c r="C28" i="4" s="1"/>
  <c r="H13" i="1"/>
  <c r="O18" i="2" s="1"/>
  <c r="N11" i="2"/>
  <c r="P11" i="2" s="1"/>
  <c r="AB11" i="4" s="1"/>
  <c r="AC11" i="4" s="1"/>
  <c r="Z27" i="7"/>
  <c r="E18" i="13"/>
  <c r="E21" i="13" s="1"/>
  <c r="C18" i="13"/>
  <c r="C21" i="13" s="1"/>
  <c r="D15" i="1"/>
  <c r="AA11" i="7"/>
  <c r="N18" i="2"/>
  <c r="G13" i="5"/>
  <c r="G20" i="5" s="1"/>
  <c r="G28" i="5" s="1"/>
  <c r="G18" i="13"/>
  <c r="G21" i="13" s="1"/>
  <c r="C15" i="1"/>
  <c r="E15" i="1"/>
  <c r="N12" i="2"/>
  <c r="P12" i="2" s="1"/>
  <c r="AB12" i="4" s="1"/>
  <c r="AC12" i="4" s="1"/>
  <c r="AA10" i="7"/>
  <c r="Y18" i="13"/>
  <c r="Y21" i="13" s="1"/>
  <c r="AA25" i="17"/>
  <c r="E10" i="14"/>
  <c r="E12" i="14" s="1"/>
  <c r="E19" i="14" s="1"/>
  <c r="E22" i="14" s="1"/>
  <c r="K20" i="7"/>
  <c r="K28" i="7" s="1"/>
  <c r="AA13" i="7"/>
  <c r="AA20" i="7" s="1"/>
  <c r="AA28" i="7" s="1"/>
  <c r="Z8" i="13"/>
  <c r="O18" i="13"/>
  <c r="O21" i="13" s="1"/>
  <c r="AA8" i="13"/>
  <c r="W18" i="13"/>
  <c r="W21" i="13" s="1"/>
  <c r="M18" i="13"/>
  <c r="M21" i="13" s="1"/>
  <c r="B20" i="2"/>
  <c r="H8" i="1"/>
  <c r="O13" i="2" s="1"/>
  <c r="B15" i="1"/>
  <c r="C12" i="14"/>
  <c r="C19" i="14" s="1"/>
  <c r="C22" i="14" s="1"/>
  <c r="Z9" i="14"/>
  <c r="AA20" i="15"/>
  <c r="AA10" i="15"/>
  <c r="AA9" i="14"/>
  <c r="I10" i="14"/>
  <c r="I12" i="14" s="1"/>
  <c r="I19" i="14" s="1"/>
  <c r="I22" i="14" s="1"/>
  <c r="G10" i="14"/>
  <c r="G12" i="14" s="1"/>
  <c r="G19" i="14" s="1"/>
  <c r="G22" i="14" s="1"/>
  <c r="AA8" i="14"/>
  <c r="M19" i="14"/>
  <c r="M22" i="14" s="1"/>
  <c r="AA17" i="14"/>
  <c r="K19" i="14"/>
  <c r="K22" i="14" s="1"/>
  <c r="Z21" i="14"/>
  <c r="U18" i="13"/>
  <c r="U21" i="13" s="1"/>
  <c r="S18" i="13"/>
  <c r="S21" i="13" s="1"/>
  <c r="Q18" i="13"/>
  <c r="Q21" i="13" s="1"/>
  <c r="AA9" i="13"/>
  <c r="AA16" i="13"/>
  <c r="Z20" i="13"/>
  <c r="AA11" i="13"/>
  <c r="K18" i="13"/>
  <c r="K21" i="13" s="1"/>
  <c r="N13" i="2" l="1"/>
  <c r="H15" i="1"/>
  <c r="O20" i="2" s="1"/>
  <c r="P20" i="2" s="1"/>
  <c r="P18" i="2"/>
  <c r="AB18" i="4" s="1"/>
  <c r="AC18" i="4" s="1"/>
  <c r="P13" i="2"/>
  <c r="N20" i="2"/>
  <c r="AA13" i="4"/>
  <c r="AA20" i="4" s="1"/>
  <c r="AA28" i="4" s="1"/>
  <c r="AB13" i="4"/>
  <c r="AB20" i="4" s="1"/>
  <c r="AA13" i="5"/>
  <c r="AA20" i="5" s="1"/>
  <c r="AA28" i="5" s="1"/>
  <c r="H19" i="1"/>
  <c r="AA26" i="15"/>
  <c r="AA23" i="15"/>
  <c r="AA10" i="14"/>
  <c r="AA12" i="14"/>
  <c r="AA19" i="14" s="1"/>
  <c r="AA22" i="14" s="1"/>
  <c r="AA18" i="13"/>
  <c r="AA21" i="13" s="1"/>
  <c r="AC20" i="4" l="1"/>
  <c r="AC13" i="4"/>
</calcChain>
</file>

<file path=xl/comments1.xml><?xml version="1.0" encoding="utf-8"?>
<comments xmlns="http://schemas.openxmlformats.org/spreadsheetml/2006/main">
  <authors>
    <author>drmeier</author>
  </authors>
  <commentList>
    <comment ref="A27" authorId="0" shapeId="0">
      <text>
        <r>
          <rPr>
            <b/>
            <sz val="8"/>
            <color indexed="81"/>
            <rFont val="Tahoma"/>
            <family val="2"/>
          </rPr>
          <t xml:space="preserve">Personal Services Detail for Medical Assist Admin II / Salary Sched 200 / Range 14 AB / ABS-FY15 Management Plan for FY16
Fully loaded yearly cost $75,184 10/22/14 
</t>
        </r>
      </text>
    </comment>
  </commentList>
</comments>
</file>

<file path=xl/comments2.xml><?xml version="1.0" encoding="utf-8"?>
<comments xmlns="http://schemas.openxmlformats.org/spreadsheetml/2006/main">
  <authors>
    <author>drmeier</author>
  </authors>
  <commentList>
    <comment ref="A27" authorId="0" shapeId="0">
      <text>
        <r>
          <rPr>
            <b/>
            <sz val="8"/>
            <color indexed="81"/>
            <rFont val="Tahoma"/>
            <family val="2"/>
          </rPr>
          <t xml:space="preserve">Personal Services Detail for Medical Assist Admin II / Salary Sched 200 / Range 14 AB / ABS-FY15 Management Plan for FY16
Fully loaded yearly cost $75,184 10/22/14 
</t>
        </r>
      </text>
    </comment>
  </commentList>
</comments>
</file>

<file path=xl/comments3.xml><?xml version="1.0" encoding="utf-8"?>
<comments xmlns="http://schemas.openxmlformats.org/spreadsheetml/2006/main">
  <authors>
    <author>slisraelson</author>
    <author>kradair</author>
  </authors>
  <commentList>
    <comment ref="Y14" authorId="0" shapeId="0">
      <text>
        <r>
          <rPr>
            <b/>
            <sz val="8"/>
            <color indexed="81"/>
            <rFont val="Tahoma"/>
            <family val="2"/>
          </rPr>
          <t>slisraelson:</t>
        </r>
        <r>
          <rPr>
            <sz val="8"/>
            <color indexed="81"/>
            <rFont val="Tahoma"/>
            <family val="2"/>
          </rPr>
          <t xml:space="preserve">
Did a lot of refunding this month.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kradair:</t>
        </r>
        <r>
          <rPr>
            <sz val="8"/>
            <color indexed="81"/>
            <rFont val="Tahoma"/>
            <family val="2"/>
          </rPr>
          <t xml:space="preserve">
Increased fee due incorrect charges. Fees being refunded.</t>
        </r>
      </text>
    </comment>
  </commentList>
</comments>
</file>

<file path=xl/sharedStrings.xml><?xml version="1.0" encoding="utf-8"?>
<sst xmlns="http://schemas.openxmlformats.org/spreadsheetml/2006/main" count="618" uniqueCount="158">
  <si>
    <t>Gross savings</t>
  </si>
  <si>
    <t>Fees paid</t>
  </si>
  <si>
    <t>Total fees paid</t>
  </si>
  <si>
    <t>Net savings</t>
  </si>
  <si>
    <t>January</t>
  </si>
  <si>
    <t>February</t>
  </si>
  <si>
    <t>March</t>
  </si>
  <si>
    <t>April</t>
  </si>
  <si>
    <t>May</t>
  </si>
  <si>
    <t>June</t>
  </si>
  <si>
    <t>Total FY 2005</t>
  </si>
  <si>
    <t>Note:  Michelle Lyons-Brown and Jill Lewis at HSS are working on refining the "avoided travel agent fees" number.</t>
  </si>
  <si>
    <t>The $33,333 used is simply the estimate arrived at with Dwayne Peeples of $400,000 straightlined across 12 months.</t>
  </si>
  <si>
    <t>Calculated Savings for Medicaid Travel Resulting from State Travel Office</t>
  </si>
  <si>
    <t>Reduced fares per USTravel reports</t>
  </si>
  <si>
    <t>Avoided travel agent fees (see note)</t>
  </si>
  <si>
    <t>State $11 Jan - March / $1 April - June</t>
  </si>
  <si>
    <t xml:space="preserve">              Original projected savings</t>
  </si>
  <si>
    <r>
      <t xml:space="preserve">              </t>
    </r>
    <r>
      <rPr>
        <b/>
        <i/>
        <sz val="10"/>
        <rFont val="Arial"/>
        <family val="2"/>
      </rPr>
      <t>Calculated savings in excess of original projection</t>
    </r>
  </si>
  <si>
    <t xml:space="preserve">Note:  The $33,333 used is simply the estimate arrived at with Dwayne Peeples of $400,000 straightlined across 12 months. </t>
  </si>
  <si>
    <t xml:space="preserve">December </t>
  </si>
  <si>
    <t>July</t>
  </si>
  <si>
    <t>August</t>
  </si>
  <si>
    <t>September</t>
  </si>
  <si>
    <t>October</t>
  </si>
  <si>
    <t>November</t>
  </si>
  <si>
    <t>ITD Savings</t>
  </si>
  <si>
    <t>total for 6 months</t>
  </si>
  <si>
    <t>Plus FY 2005</t>
  </si>
  <si>
    <t>YTD</t>
  </si>
  <si>
    <t>Reported savings:</t>
  </si>
  <si>
    <t xml:space="preserve">    Rural air carrier contracts</t>
  </si>
  <si>
    <t xml:space="preserve">    Other</t>
  </si>
  <si>
    <t xml:space="preserve">   MCAAK fares</t>
  </si>
  <si>
    <t xml:space="preserve">State </t>
  </si>
  <si>
    <t>and FY 2006</t>
  </si>
  <si>
    <t>total for 18 months</t>
  </si>
  <si>
    <t>Total Spend</t>
  </si>
  <si>
    <t>#</t>
  </si>
  <si>
    <t xml:space="preserve">Other Lost Opportunity Documented with Managed Travel </t>
  </si>
  <si>
    <t>MCAAK Fare Not Available - S</t>
  </si>
  <si>
    <t>Reported Savings / Total Spend</t>
  </si>
  <si>
    <t xml:space="preserve">    Rural air carrier contracts (see note 1)</t>
  </si>
  <si>
    <t>Avoided travel agent fees (see note 2)</t>
  </si>
  <si>
    <t xml:space="preserve">Note 2:  The $33,333 used is simply the estimate arrived at with Dwayne Peeples of $400,000 straightlined across 12 months. </t>
  </si>
  <si>
    <t>Note 1:  Rural air carrier contract savings lowered by negative savings calculated when fare exceeded comparison basis fare.</t>
  </si>
  <si>
    <t>ITD Totals</t>
  </si>
  <si>
    <t>YTD Totals</t>
  </si>
  <si>
    <t>Net Savings / Total Spend</t>
  </si>
  <si>
    <t xml:space="preserve">Note 1:  The $33,333 used is simply the estimate arrived at with Dwayne Peeples of $400,000 straightlined across 12 months. </t>
  </si>
  <si>
    <t xml:space="preserve">MCAAK Fare Not Available </t>
  </si>
  <si>
    <t>MCAAK Fare Not Avail/MCAAK Savings</t>
  </si>
  <si>
    <t>Totals</t>
  </si>
  <si>
    <t>Calculated Savings for Medicaid Travel Office (MTO) FY09</t>
  </si>
  <si>
    <t>Calculated Savings for Medicaid Travel Office (MTO) FY10</t>
  </si>
  <si>
    <t>Calculated Savings for Medicaid Travel Office (MTO) FY11</t>
  </si>
  <si>
    <t xml:space="preserve">USTravel </t>
  </si>
  <si>
    <t>USTravel $14</t>
  </si>
  <si>
    <t>Total Negotiated Savings</t>
  </si>
  <si>
    <t>Managed Savings</t>
  </si>
  <si>
    <t>E-Travel Fees</t>
  </si>
  <si>
    <r>
      <t xml:space="preserve"> </t>
    </r>
    <r>
      <rPr>
        <sz val="10"/>
        <rFont val="Arial"/>
        <family val="2"/>
      </rPr>
      <t xml:space="preserve"> Number of Fees</t>
    </r>
  </si>
  <si>
    <t>Total Fees Paid</t>
  </si>
  <si>
    <t>Contract Savings</t>
  </si>
  <si>
    <t>Savings Calculated from Negotiated Contracts</t>
  </si>
  <si>
    <t>$</t>
  </si>
  <si>
    <t>CONTRACT SAVINGS</t>
  </si>
  <si>
    <t>This represents the air contract percent, which varies per carrier.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</si>
  <si>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</si>
  <si>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t xml:space="preserve">This represents only the preferred vendors on the ITB list. 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</si>
  <si>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</si>
  <si>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t xml:space="preserve">HC – HOTEL CONTRACT </t>
  </si>
  <si>
    <t xml:space="preserve">CC – RENTAL CAR CONTRACT </t>
  </si>
  <si>
    <t>MANAGED SAVINGS</t>
  </si>
  <si>
    <t>Tickets purchased with a group or meeting discount – the discount fare paid compared to
the same fare class (refundable or nonrefundable) without the discount.</t>
  </si>
  <si>
    <t>1 – E-CERT OR VOUCHER USED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</si>
  <si>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</si>
  <si>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</si>
  <si>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</si>
  <si>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</si>
  <si>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t xml:space="preserve">OTHER – REFLECTS TRANSACTION NUMBERS AND ZERO COST SAVINGS FOR 
THE FOLLOWING CODES: </t>
  </si>
  <si>
    <t xml:space="preserve">      For tickets with no contract or discount savings - the fare paid is equal to the lowest 
      non-penalty fare available. </t>
  </si>
  <si>
    <t xml:space="preserve">      For tickets exchanged due to rebooking or a mid-trip change using the same
      PNR - fare is equal to the add-collect.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</si>
  <si>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CL – LOWEST CAR RATE ACCEPTED</t>
    </r>
  </si>
  <si>
    <t xml:space="preserve">      For cars booked not using a contract - the rate paid is equal to the lowest rate 
      available for the same car.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</si>
  <si>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HL- LOWEST HOTEL RATE ACCEPTED</t>
    </r>
  </si>
  <si>
    <t xml:space="preserve">      For hotels booked not using a contract - the rate paid is equal to the lowest 
      available rate for that property.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</si>
  <si>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</si>
  <si>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</si>
  <si>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</si>
  <si>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</t>
    </r>
    <r>
      <rPr>
        <sz val="11"/>
        <rFont val="Arial"/>
        <family val="2"/>
      </rPr>
      <t xml:space="preserve"> – Western States Contracting Alliance – provides a means by which 
      participating states can join together in cooperative multi-state contracting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</si>
  <si>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</si>
  <si>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t xml:space="preserve">9 – AIR Contract (AS, DL, &amp; 7H) </t>
  </si>
  <si>
    <t>Hotel Preferred and WSCA Contract - HH</t>
  </si>
  <si>
    <t>B – PREFERRED NON-GDS RURAL</t>
  </si>
  <si>
    <t>G – GROUP OR MEETING FARE</t>
  </si>
  <si>
    <t>M – EZBIZ MILEAGE</t>
  </si>
  <si>
    <t>XF - USED A TICKET ON FILE</t>
  </si>
  <si>
    <t>XN – NAME CHANGE FOR TICKET ON FILE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</si>
  <si>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L – LOWEST FARE ACCEPTED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</si>
  <si>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XR – CANCEL AND REBOOK TRIP</t>
    </r>
  </si>
  <si>
    <t>Rental Car Contracts (Budget, Hertz, National, Enterprise) - CC</t>
  </si>
  <si>
    <t xml:space="preserve">      Alaska Airlines Contract Savings - 9</t>
  </si>
  <si>
    <t xml:space="preserve">      Delta Contract Savings - 9</t>
  </si>
  <si>
    <t xml:space="preserve">      ERA Contract Savings - 9</t>
  </si>
  <si>
    <t>Total Air Spend</t>
  </si>
  <si>
    <t xml:space="preserve">   Contract Air Savings Negotiated only -9 (Note 1)</t>
  </si>
  <si>
    <t>Note 1: Combined AS/DL totals JUL-DEC. The Alaska Airlines conract provides a negotiated percentage discount off all published fare.  The % discount is attributed to E-Travel Savings</t>
  </si>
  <si>
    <t xml:space="preserve">  Rural Air Carrier Contracts - B  (Note 2)</t>
  </si>
  <si>
    <t>Net Calculated (Cost) or Benefit from E-Travel Use (Note 3)</t>
  </si>
  <si>
    <t>Note 3: The Contract Savings Less E-Travel Fees</t>
  </si>
  <si>
    <t>Contract Savings / Total Air Spend</t>
  </si>
  <si>
    <t>Reported Savings:</t>
  </si>
  <si>
    <t xml:space="preserve">   AS Contract Negotiated Savings</t>
  </si>
  <si>
    <t xml:space="preserve">    Rural Air Carrier Contracts </t>
  </si>
  <si>
    <t>Savings per USTravel Reports</t>
  </si>
  <si>
    <t>Fees Paid</t>
  </si>
  <si>
    <t>Net Savings</t>
  </si>
  <si>
    <t>Gross Savings</t>
  </si>
  <si>
    <t>Reduced Fares per USTravel Reports</t>
  </si>
  <si>
    <t>Avoided Travel Agent Fees (Note 1)</t>
  </si>
  <si>
    <t>Avoided Travel Agent Fees  (Note 1)</t>
  </si>
  <si>
    <t xml:space="preserve">   MCAAK Fares </t>
  </si>
  <si>
    <t xml:space="preserve">   MCAAK Fares</t>
  </si>
  <si>
    <t>Note 2:  Combined ERA and Non-GDS Rural totals JUL-DEC / ERA Moved to Code 9 Carrier</t>
  </si>
  <si>
    <t>Calculated Savings for Medicaid Travel Office (MTO) FY08</t>
  </si>
  <si>
    <t>Calculated Savings for Medicaid Travel Office (MTO) FY07</t>
  </si>
  <si>
    <t>Calculated Savings for Medicaid Travel Office (MTO) FY05</t>
  </si>
  <si>
    <t>Calculated Savings for Medicaid Travel Office (MTO) FY13</t>
  </si>
  <si>
    <t>Contract Air Savings</t>
  </si>
  <si>
    <t>Net Calculated (Cost) or Benefit from E-Travel Use (Note 1)</t>
  </si>
  <si>
    <t>Note 1: The Contract Savings Less E-Travel Fees</t>
  </si>
  <si>
    <t xml:space="preserve">   Alaska Airlines Contract Savings - 9</t>
  </si>
  <si>
    <t xml:space="preserve">   Delta Contract Savings - 9</t>
  </si>
  <si>
    <t xml:space="preserve">   ERA Contract Savings - 9</t>
  </si>
  <si>
    <t xml:space="preserve">   Rural Air Carrier Contracts - B  </t>
  </si>
  <si>
    <r>
      <t xml:space="preserve">  </t>
    </r>
    <r>
      <rPr>
        <sz val="10"/>
        <rFont val="Arial"/>
        <family val="2"/>
      </rPr>
      <t xml:space="preserve"> Number of Fees</t>
    </r>
  </si>
  <si>
    <t>Calculated Savings for Medicaid Travel Office (MTO) FY12</t>
  </si>
  <si>
    <t xml:space="preserve">Gross Savings </t>
  </si>
  <si>
    <t>Alaska Airlines Contract Savings - 9</t>
  </si>
  <si>
    <t>Delta Contract Savings - 9</t>
  </si>
  <si>
    <t xml:space="preserve">Rural Air Carrier Contracts - B  </t>
  </si>
  <si>
    <t>Corporate Travel Management</t>
  </si>
  <si>
    <t>Note 2: Starting FY14, savings are removed from report when tickets are refunded.</t>
  </si>
  <si>
    <t>Calculated Savings for Medicaid Travel Office FY14</t>
  </si>
  <si>
    <t>Avoided PCN Costs (Note 2)</t>
  </si>
  <si>
    <t>RAVN Contract Savings - 9</t>
  </si>
  <si>
    <t>COST REPORT CODES</t>
  </si>
  <si>
    <r>
      <t>·</t>
    </r>
    <r>
      <rPr>
        <sz val="7"/>
        <rFont val="Times New Roman"/>
        <family val="1"/>
      </rPr>
      <t>         RAVN</t>
    </r>
    <r>
      <rPr>
        <sz val="11"/>
        <rFont val="Arial"/>
        <family val="2"/>
      </rPr>
      <t xml:space="preserve"> (7H) contract fares - the contract fare paid compared to the lowest refundable fare.   </t>
    </r>
  </si>
  <si>
    <t>Hotels booked using a hotel contract discount (Preferred or WSCA/NASPO) – the booked rate compared
to the federal per diem rate.</t>
  </si>
  <si>
    <t>Cars booked using a car contract (Budget or WSCA/NASPO)– the booked contract rate compared to the same car type without the discount.</t>
  </si>
  <si>
    <t>Savings Calculated from Negotiated Air Contracts</t>
  </si>
  <si>
    <t>Net Calculated Benefit or (Cost) from E-Travel Use (Note 1)</t>
  </si>
  <si>
    <r>
      <rPr>
        <b/>
        <sz val="10"/>
        <rFont val="Arial"/>
        <family val="2"/>
      </rPr>
      <t>Note 1:</t>
    </r>
    <r>
      <rPr>
        <sz val="10"/>
        <rFont val="Arial"/>
        <family val="2"/>
      </rPr>
      <t xml:space="preserve"> The Gross Savings less Total Fees Paid</t>
    </r>
  </si>
  <si>
    <r>
      <rPr>
        <b/>
        <sz val="10"/>
        <rFont val="Arial"/>
        <family val="2"/>
      </rPr>
      <t>Note 2:</t>
    </r>
    <r>
      <rPr>
        <sz val="10"/>
        <rFont val="Arial"/>
        <family val="2"/>
      </rPr>
      <t xml:space="preserve"> The total cost of 10 FT PCNs needed to process travel for providers and recipients.</t>
    </r>
  </si>
  <si>
    <t>Calculated Savings: Medicaid FY15</t>
  </si>
  <si>
    <t>Calculated Savings: Medicaid FY16</t>
  </si>
  <si>
    <t xml:space="preserve">   DOA/DOF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</si>
</sst>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7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7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0" xfId="3" applyFont="1"/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43" fontId="0" fillId="0" borderId="0" xfId="0" applyNumberFormat="1"/>
    <xf numFmtId="43" fontId="3" fillId="0" borderId="0" xfId="0" applyNumberFormat="1" applyFont="1"/>
    <xf numFmtId="164" fontId="0" fillId="0" borderId="0" xfId="1" applyNumberFormat="1" applyFont="1" applyFill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left" indent="1"/>
    </xf>
    <xf numFmtId="164" fontId="0" fillId="0" borderId="1" xfId="1" applyNumberFormat="1" applyFont="1" applyBorder="1" applyAlignment="1">
      <alignment horizontal="left" indent="1"/>
    </xf>
    <xf numFmtId="164" fontId="0" fillId="0" borderId="1" xfId="0" applyNumberFormat="1" applyBorder="1"/>
    <xf numFmtId="164" fontId="3" fillId="0" borderId="0" xfId="0" applyNumberFormat="1" applyFont="1"/>
    <xf numFmtId="164" fontId="3" fillId="0" borderId="1" xfId="0" applyNumberFormat="1" applyFont="1" applyBorder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3" fillId="0" borderId="0" xfId="2" applyNumberFormat="1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164" fontId="1" fillId="0" borderId="0" xfId="1" applyNumberFormat="1"/>
    <xf numFmtId="165" fontId="1" fillId="0" borderId="0" xfId="2" applyNumberFormat="1" applyFont="1"/>
    <xf numFmtId="165" fontId="1" fillId="0" borderId="0" xfId="2" applyNumberFormat="1" applyAlignment="1">
      <alignment horizontal="center"/>
    </xf>
    <xf numFmtId="165" fontId="1" fillId="0" borderId="0" xfId="2" applyNumberFormat="1"/>
    <xf numFmtId="164" fontId="1" fillId="0" borderId="0" xfId="1" applyNumberFormat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Border="1"/>
    <xf numFmtId="164" fontId="1" fillId="0" borderId="0" xfId="1" applyNumberFormat="1" applyAlignment="1">
      <alignment horizontal="left" indent="1"/>
    </xf>
    <xf numFmtId="164" fontId="1" fillId="0" borderId="1" xfId="1" applyNumberFormat="1" applyBorder="1" applyAlignment="1">
      <alignment horizontal="left" indent="1"/>
    </xf>
    <xf numFmtId="0" fontId="2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/>
    <xf numFmtId="0" fontId="4" fillId="0" borderId="0" xfId="0" applyFont="1" applyAlignment="1"/>
    <xf numFmtId="165" fontId="1" fillId="0" borderId="0" xfId="2" applyNumberFormat="1" applyAlignment="1"/>
    <xf numFmtId="164" fontId="1" fillId="0" borderId="0" xfId="1" applyNumberFormat="1" applyAlignment="1"/>
    <xf numFmtId="164" fontId="1" fillId="0" borderId="1" xfId="1" applyNumberFormat="1" applyBorder="1" applyAlignment="1"/>
    <xf numFmtId="0" fontId="2" fillId="0" borderId="0" xfId="0" applyFont="1" applyAlignment="1"/>
    <xf numFmtId="0" fontId="0" fillId="0" borderId="1" xfId="0" applyBorder="1" applyAlignment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42" fontId="0" fillId="0" borderId="1" xfId="0" applyNumberFormat="1" applyBorder="1"/>
    <xf numFmtId="42" fontId="0" fillId="0" borderId="1" xfId="0" applyNumberFormat="1" applyBorder="1" applyAlignment="1">
      <alignment horizontal="center"/>
    </xf>
    <xf numFmtId="165" fontId="3" fillId="0" borderId="2" xfId="2" applyNumberFormat="1" applyFont="1" applyBorder="1"/>
    <xf numFmtId="0" fontId="3" fillId="0" borderId="0" xfId="0" applyFont="1" applyBorder="1"/>
    <xf numFmtId="0" fontId="2" fillId="0" borderId="0" xfId="0" applyFont="1" applyFill="1"/>
    <xf numFmtId="164" fontId="3" fillId="0" borderId="0" xfId="0" applyNumberFormat="1" applyFont="1" applyBorder="1"/>
    <xf numFmtId="165" fontId="8" fillId="0" borderId="0" xfId="2" applyNumberFormat="1" applyFont="1"/>
    <xf numFmtId="164" fontId="8" fillId="0" borderId="0" xfId="0" applyNumberFormat="1" applyFont="1"/>
    <xf numFmtId="164" fontId="1" fillId="0" borderId="0" xfId="2" applyNumberFormat="1" applyAlignment="1"/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0" xfId="1" applyNumberFormat="1" applyFont="1" applyAlignment="1">
      <alignment horizontal="center"/>
    </xf>
    <xf numFmtId="42" fontId="1" fillId="0" borderId="0" xfId="2" applyNumberFormat="1" applyFont="1" applyAlignment="1">
      <alignment horizontal="center"/>
    </xf>
    <xf numFmtId="42" fontId="1" fillId="0" borderId="1" xfId="1" applyNumberFormat="1" applyFont="1" applyBorder="1" applyAlignment="1">
      <alignment horizontal="center"/>
    </xf>
    <xf numFmtId="42" fontId="1" fillId="0" borderId="0" xfId="2" applyNumberFormat="1"/>
    <xf numFmtId="42" fontId="1" fillId="0" borderId="1" xfId="1" applyNumberFormat="1" applyBorder="1" applyAlignment="1">
      <alignment horizontal="center"/>
    </xf>
    <xf numFmtId="42" fontId="1" fillId="0" borderId="0" xfId="1" applyNumberFormat="1" applyAlignment="1">
      <alignment horizontal="center"/>
    </xf>
    <xf numFmtId="42" fontId="1" fillId="0" borderId="0" xfId="1" applyNumberFormat="1" applyFill="1" applyAlignment="1">
      <alignment horizontal="center"/>
    </xf>
    <xf numFmtId="42" fontId="1" fillId="0" borderId="1" xfId="1" applyNumberFormat="1" applyFill="1" applyBorder="1" applyAlignment="1">
      <alignment horizontal="center"/>
    </xf>
    <xf numFmtId="42" fontId="1" fillId="0" borderId="0" xfId="1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1" fillId="0" borderId="0" xfId="2" applyNumberFormat="1" applyAlignment="1">
      <alignment horizontal="center"/>
    </xf>
    <xf numFmtId="37" fontId="1" fillId="0" borderId="0" xfId="1" applyNumberFormat="1" applyAlignment="1">
      <alignment horizontal="center"/>
    </xf>
    <xf numFmtId="37" fontId="1" fillId="0" borderId="1" xfId="1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2" applyNumberFormat="1" applyAlignment="1">
      <alignment horizontal="center"/>
    </xf>
    <xf numFmtId="3" fontId="1" fillId="0" borderId="0" xfId="1" applyNumberFormat="1" applyAlignment="1">
      <alignment horizontal="center"/>
    </xf>
    <xf numFmtId="3" fontId="1" fillId="0" borderId="1" xfId="1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0" fillId="0" borderId="0" xfId="0" applyNumberFormat="1" applyAlignment="1"/>
    <xf numFmtId="3" fontId="1" fillId="0" borderId="0" xfId="2" applyNumberFormat="1" applyAlignment="1"/>
    <xf numFmtId="3" fontId="1" fillId="0" borderId="0" xfId="1" applyNumberFormat="1" applyAlignment="1"/>
    <xf numFmtId="3" fontId="1" fillId="0" borderId="1" xfId="1" applyNumberFormat="1" applyBorder="1" applyAlignment="1"/>
    <xf numFmtId="3" fontId="0" fillId="0" borderId="1" xfId="0" applyNumberFormat="1" applyBorder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1" fillId="0" borderId="0" xfId="2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0" borderId="1" xfId="1" applyNumberFormat="1" applyFont="1" applyBorder="1" applyAlignment="1">
      <alignment horizontal="center"/>
    </xf>
    <xf numFmtId="0" fontId="0" fillId="0" borderId="0" xfId="0" applyNumberFormat="1" applyAlignment="1"/>
    <xf numFmtId="164" fontId="1" fillId="0" borderId="0" xfId="1" applyNumberFormat="1" applyFont="1" applyAlignment="1"/>
    <xf numFmtId="0" fontId="1" fillId="0" borderId="0" xfId="1" applyNumberFormat="1" applyFont="1" applyAlignment="1"/>
    <xf numFmtId="42" fontId="1" fillId="0" borderId="0" xfId="1" applyNumberFormat="1" applyFont="1" applyAlignment="1"/>
    <xf numFmtId="37" fontId="0" fillId="0" borderId="0" xfId="0" applyNumberFormat="1" applyAlignment="1"/>
    <xf numFmtId="0" fontId="7" fillId="0" borderId="0" xfId="0" applyFont="1" applyAlignment="1"/>
    <xf numFmtId="0" fontId="3" fillId="0" borderId="0" xfId="0" applyFont="1" applyAlignment="1"/>
    <xf numFmtId="0" fontId="1" fillId="0" borderId="0" xfId="2" applyNumberFormat="1" applyAlignment="1"/>
    <xf numFmtId="42" fontId="1" fillId="0" borderId="0" xfId="2" applyNumberFormat="1" applyFont="1" applyAlignment="1"/>
    <xf numFmtId="37" fontId="1" fillId="0" borderId="0" xfId="2" applyNumberFormat="1" applyAlignment="1"/>
    <xf numFmtId="164" fontId="0" fillId="0" borderId="0" xfId="0" applyNumberFormat="1" applyAlignment="1"/>
    <xf numFmtId="164" fontId="3" fillId="0" borderId="0" xfId="0" applyNumberFormat="1" applyFont="1" applyAlignment="1"/>
    <xf numFmtId="0" fontId="1" fillId="0" borderId="0" xfId="1" applyNumberFormat="1" applyAlignment="1"/>
    <xf numFmtId="37" fontId="1" fillId="0" borderId="0" xfId="1" applyNumberFormat="1" applyAlignment="1"/>
    <xf numFmtId="0" fontId="1" fillId="0" borderId="1" xfId="1" applyNumberFormat="1" applyBorder="1" applyAlignment="1"/>
    <xf numFmtId="164" fontId="1" fillId="0" borderId="1" xfId="1" applyNumberFormat="1" applyFont="1" applyBorder="1" applyAlignment="1"/>
    <xf numFmtId="42" fontId="1" fillId="0" borderId="1" xfId="1" applyNumberFormat="1" applyFont="1" applyBorder="1" applyAlignment="1"/>
    <xf numFmtId="37" fontId="1" fillId="0" borderId="1" xfId="1" applyNumberFormat="1" applyBorder="1" applyAlignment="1"/>
    <xf numFmtId="164" fontId="0" fillId="0" borderId="1" xfId="0" applyNumberFormat="1" applyBorder="1" applyAlignment="1"/>
    <xf numFmtId="42" fontId="1" fillId="0" borderId="0" xfId="2" applyNumberFormat="1" applyAlignment="1"/>
    <xf numFmtId="42" fontId="1" fillId="0" borderId="1" xfId="1" applyNumberFormat="1" applyBorder="1" applyAlignment="1"/>
    <xf numFmtId="42" fontId="1" fillId="0" borderId="0" xfId="1" applyNumberFormat="1" applyAlignment="1"/>
    <xf numFmtId="42" fontId="1" fillId="0" borderId="0" xfId="1" applyNumberFormat="1" applyFill="1" applyAlignment="1"/>
    <xf numFmtId="164" fontId="0" fillId="0" borderId="0" xfId="0" applyNumberFormat="1" applyBorder="1" applyAlignment="1"/>
    <xf numFmtId="164" fontId="3" fillId="0" borderId="0" xfId="0" applyNumberFormat="1" applyFont="1" applyBorder="1" applyAlignment="1"/>
    <xf numFmtId="42" fontId="1" fillId="0" borderId="1" xfId="1" applyNumberFormat="1" applyFill="1" applyBorder="1" applyAlignment="1"/>
    <xf numFmtId="3" fontId="1" fillId="0" borderId="0" xfId="1" applyNumberFormat="1" applyBorder="1" applyAlignment="1"/>
    <xf numFmtId="42" fontId="0" fillId="0" borderId="0" xfId="0" applyNumberFormat="1" applyAlignment="1"/>
    <xf numFmtId="42" fontId="0" fillId="0" borderId="1" xfId="0" applyNumberFormat="1" applyBorder="1" applyAlignment="1"/>
    <xf numFmtId="37" fontId="0" fillId="0" borderId="1" xfId="0" applyNumberFormat="1" applyBorder="1" applyAlignment="1"/>
    <xf numFmtId="0" fontId="0" fillId="0" borderId="0" xfId="0" applyBorder="1" applyAlignment="1"/>
    <xf numFmtId="3" fontId="1" fillId="0" borderId="1" xfId="2" applyNumberFormat="1" applyBorder="1" applyAlignment="1"/>
    <xf numFmtId="9" fontId="0" fillId="0" borderId="0" xfId="0" applyNumberFormat="1" applyAlignment="1"/>
    <xf numFmtId="164" fontId="1" fillId="0" borderId="0" xfId="1" applyNumberFormat="1" applyBorder="1" applyAlignment="1"/>
    <xf numFmtId="165" fontId="8" fillId="0" borderId="0" xfId="2" applyNumberFormat="1" applyFont="1" applyBorder="1" applyAlignment="1"/>
    <xf numFmtId="165" fontId="3" fillId="0" borderId="0" xfId="2" applyNumberFormat="1" applyFont="1" applyBorder="1" applyAlignment="1"/>
    <xf numFmtId="164" fontId="8" fillId="0" borderId="0" xfId="0" applyNumberFormat="1" applyFont="1" applyBorder="1" applyAlignment="1"/>
    <xf numFmtId="3" fontId="1" fillId="0" borderId="0" xfId="2" applyNumberFormat="1" applyBorder="1" applyAlignment="1"/>
    <xf numFmtId="41" fontId="0" fillId="0" borderId="1" xfId="0" applyNumberFormat="1" applyBorder="1" applyAlignment="1"/>
    <xf numFmtId="41" fontId="1" fillId="0" borderId="0" xfId="1" applyNumberFormat="1" applyAlignment="1"/>
    <xf numFmtId="41" fontId="0" fillId="0" borderId="0" xfId="0" applyNumberFormat="1" applyAlignment="1">
      <alignment horizontal="center"/>
    </xf>
    <xf numFmtId="41" fontId="0" fillId="0" borderId="0" xfId="0" applyNumberFormat="1" applyAlignment="1"/>
    <xf numFmtId="41" fontId="1" fillId="0" borderId="0" xfId="2" applyNumberFormat="1" applyAlignment="1"/>
    <xf numFmtId="41" fontId="1" fillId="0" borderId="1" xfId="1" applyNumberFormat="1" applyBorder="1" applyAlignment="1"/>
    <xf numFmtId="164" fontId="1" fillId="0" borderId="0" xfId="1" applyNumberFormat="1" applyFill="1" applyAlignment="1"/>
    <xf numFmtId="0" fontId="9" fillId="0" borderId="0" xfId="0" applyFont="1"/>
    <xf numFmtId="3" fontId="1" fillId="0" borderId="0" xfId="1" applyNumberFormat="1" applyBorder="1" applyAlignment="1">
      <alignment horizontal="center"/>
    </xf>
    <xf numFmtId="41" fontId="1" fillId="0" borderId="0" xfId="1" applyNumberFormat="1" applyFont="1" applyAlignment="1">
      <alignment horizontal="center"/>
    </xf>
    <xf numFmtId="41" fontId="1" fillId="0" borderId="1" xfId="1" applyNumberFormat="1" applyFont="1" applyBorder="1" applyAlignment="1">
      <alignment horizontal="center"/>
    </xf>
    <xf numFmtId="164" fontId="1" fillId="0" borderId="0" xfId="1" applyNumberFormat="1" applyBorder="1" applyAlignment="1">
      <alignment horizontal="left" indent="1"/>
    </xf>
    <xf numFmtId="3" fontId="1" fillId="0" borderId="0" xfId="1" applyNumberFormat="1" applyFont="1" applyAlignment="1"/>
    <xf numFmtId="3" fontId="3" fillId="2" borderId="2" xfId="0" applyNumberFormat="1" applyFont="1" applyFill="1" applyBorder="1" applyAlignment="1">
      <alignment horizontal="center"/>
    </xf>
    <xf numFmtId="165" fontId="3" fillId="2" borderId="2" xfId="2" applyNumberFormat="1" applyFont="1" applyFill="1" applyBorder="1"/>
    <xf numFmtId="3" fontId="3" fillId="2" borderId="2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/>
    <xf numFmtId="42" fontId="3" fillId="2" borderId="2" xfId="2" applyNumberFormat="1" applyFont="1" applyFill="1" applyBorder="1"/>
    <xf numFmtId="165" fontId="3" fillId="2" borderId="2" xfId="2" applyNumberFormat="1" applyFont="1" applyFill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1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2" applyNumberFormat="1" applyAlignment="1">
      <alignment horizontal="right"/>
    </xf>
    <xf numFmtId="3" fontId="1" fillId="0" borderId="0" xfId="1" applyNumberFormat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right"/>
    </xf>
    <xf numFmtId="3" fontId="1" fillId="0" borderId="4" xfId="1" applyNumberFormat="1" applyBorder="1" applyAlignment="1">
      <alignment horizontal="right"/>
    </xf>
    <xf numFmtId="164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1" applyNumberFormat="1" applyAlignment="1">
      <alignment horizontal="right" indent="1"/>
    </xf>
    <xf numFmtId="164" fontId="1" fillId="0" borderId="0" xfId="1" applyNumberFormat="1" applyBorder="1" applyAlignment="1">
      <alignment horizontal="right" indent="1"/>
    </xf>
    <xf numFmtId="3" fontId="0" fillId="0" borderId="0" xfId="0" applyNumberFormat="1" applyBorder="1" applyAlignment="1">
      <alignment horizontal="right"/>
    </xf>
    <xf numFmtId="164" fontId="1" fillId="0" borderId="1" xfId="1" applyNumberFormat="1" applyBorder="1" applyAlignment="1">
      <alignment horizontal="right" indent="1"/>
    </xf>
    <xf numFmtId="3" fontId="1" fillId="0" borderId="0" xfId="1" applyNumberFormat="1" applyBorder="1" applyAlignment="1">
      <alignment horizontal="right"/>
    </xf>
    <xf numFmtId="164" fontId="1" fillId="0" borderId="1" xfId="1" applyNumberForma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42" fontId="1" fillId="0" borderId="0" xfId="1" applyNumberFormat="1" applyAlignment="1">
      <alignment horizontal="right"/>
    </xf>
    <xf numFmtId="3" fontId="1" fillId="0" borderId="0" xfId="1" applyNumberFormat="1" applyFont="1" applyAlignment="1">
      <alignment horizontal="right"/>
    </xf>
    <xf numFmtId="42" fontId="1" fillId="0" borderId="0" xfId="1" applyNumberFormat="1" applyFont="1" applyAlignment="1">
      <alignment horizontal="right"/>
    </xf>
    <xf numFmtId="165" fontId="1" fillId="0" borderId="0" xfId="2" applyNumberFormat="1" applyAlignment="1">
      <alignment horizontal="right"/>
    </xf>
    <xf numFmtId="42" fontId="1" fillId="0" borderId="0" xfId="2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41" fontId="1" fillId="0" borderId="0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2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5" fontId="3" fillId="0" borderId="0" xfId="2" applyNumberFormat="1" applyFont="1" applyAlignment="1">
      <alignment horizontal="left"/>
    </xf>
    <xf numFmtId="165" fontId="8" fillId="0" borderId="0" xfId="2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65" fontId="3" fillId="0" borderId="5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42" fontId="3" fillId="0" borderId="0" xfId="0" applyNumberFormat="1" applyFont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/>
    <xf numFmtId="0" fontId="12" fillId="0" borderId="0" xfId="0" applyFont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42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indent="1"/>
    </xf>
    <xf numFmtId="164" fontId="8" fillId="0" borderId="0" xfId="1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4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164" fontId="1" fillId="3" borderId="0" xfId="1" applyNumberFormat="1" applyFill="1" applyAlignment="1">
      <alignment horizontal="right"/>
    </xf>
    <xf numFmtId="3" fontId="0" fillId="3" borderId="0" xfId="0" applyNumberFormat="1" applyFill="1" applyBorder="1" applyAlignment="1">
      <alignment horizontal="right"/>
    </xf>
    <xf numFmtId="164" fontId="1" fillId="3" borderId="1" xfId="1" applyNumberForma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3" fontId="1" fillId="3" borderId="0" xfId="2" applyNumberFormat="1" applyFont="1" applyFill="1" applyAlignment="1">
      <alignment horizontal="right"/>
    </xf>
    <xf numFmtId="164" fontId="1" fillId="3" borderId="0" xfId="1" applyNumberFormat="1" applyFill="1" applyBorder="1" applyAlignment="1">
      <alignment horizontal="right" indent="1"/>
    </xf>
    <xf numFmtId="3" fontId="8" fillId="3" borderId="0" xfId="2" applyNumberFormat="1" applyFont="1" applyFill="1" applyAlignment="1">
      <alignment horizontal="right"/>
    </xf>
    <xf numFmtId="164" fontId="8" fillId="3" borderId="0" xfId="1" applyNumberFormat="1" applyFont="1" applyFill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165" fontId="3" fillId="3" borderId="5" xfId="2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Border="1" applyAlignment="1">
      <alignment horizontal="right"/>
    </xf>
    <xf numFmtId="42" fontId="3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center"/>
    </xf>
    <xf numFmtId="9" fontId="3" fillId="3" borderId="0" xfId="0" applyNumberFormat="1" applyFont="1" applyFill="1"/>
    <xf numFmtId="3" fontId="1" fillId="3" borderId="0" xfId="1" applyNumberFormat="1" applyFill="1" applyAlignment="1">
      <alignment horizontal="center"/>
    </xf>
    <xf numFmtId="164" fontId="1" fillId="3" borderId="0" xfId="1" applyNumberFormat="1" applyFill="1"/>
    <xf numFmtId="3" fontId="1" fillId="3" borderId="4" xfId="1" applyNumberFormat="1" applyFill="1" applyBorder="1" applyAlignment="1">
      <alignment horizontal="right"/>
    </xf>
    <xf numFmtId="3" fontId="1" fillId="3" borderId="0" xfId="1" applyNumberFormat="1" applyFill="1" applyAlignment="1">
      <alignment horizontal="right"/>
    </xf>
    <xf numFmtId="164" fontId="1" fillId="3" borderId="0" xfId="1" applyNumberFormat="1" applyFill="1" applyAlignment="1">
      <alignment horizontal="right" indent="1"/>
    </xf>
    <xf numFmtId="3" fontId="1" fillId="3" borderId="0" xfId="1" applyNumberForma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165" fontId="1" fillId="3" borderId="0" xfId="2" applyNumberFormat="1" applyFill="1" applyAlignment="1">
      <alignment horizontal="right"/>
    </xf>
    <xf numFmtId="3" fontId="0" fillId="3" borderId="0" xfId="0" applyNumberFormat="1" applyFill="1" applyAlignment="1"/>
    <xf numFmtId="3" fontId="1" fillId="3" borderId="0" xfId="2" applyNumberFormat="1" applyFill="1" applyAlignment="1">
      <alignment horizontal="right"/>
    </xf>
    <xf numFmtId="164" fontId="1" fillId="3" borderId="1" xfId="1" applyNumberFormat="1" applyFill="1" applyBorder="1" applyAlignment="1">
      <alignment horizontal="right"/>
    </xf>
    <xf numFmtId="164" fontId="1" fillId="3" borderId="0" xfId="1" applyNumberFormat="1" applyFont="1" applyFill="1" applyAlignment="1">
      <alignment horizontal="right"/>
    </xf>
    <xf numFmtId="165" fontId="1" fillId="3" borderId="0" xfId="2" applyNumberFormat="1" applyFont="1" applyFill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42" fontId="3" fillId="3" borderId="0" xfId="1" applyNumberFormat="1" applyFont="1" applyFill="1" applyBorder="1" applyAlignment="1">
      <alignment horizontal="right"/>
    </xf>
    <xf numFmtId="164" fontId="1" fillId="3" borderId="0" xfId="1" applyNumberFormat="1" applyFill="1" applyAlignment="1">
      <alignment horizontal="center"/>
    </xf>
    <xf numFmtId="42" fontId="3" fillId="3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0" xfId="1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2" fontId="8" fillId="0" borderId="0" xfId="0" applyNumberFormat="1" applyFont="1" applyAlignment="1">
      <alignment horizontal="center"/>
    </xf>
    <xf numFmtId="42" fontId="8" fillId="0" borderId="0" xfId="1" applyNumberFormat="1" applyFont="1" applyAlignment="1">
      <alignment horizontal="center"/>
    </xf>
    <xf numFmtId="164" fontId="8" fillId="3" borderId="0" xfId="1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3" fontId="0" fillId="4" borderId="4" xfId="0" applyNumberFormat="1" applyFill="1" applyBorder="1" applyAlignment="1">
      <alignment horizontal="right"/>
    </xf>
    <xf numFmtId="0" fontId="0" fillId="4" borderId="0" xfId="0" applyFill="1" applyAlignment="1">
      <alignment horizontal="right"/>
    </xf>
    <xf numFmtId="3" fontId="0" fillId="4" borderId="0" xfId="0" applyNumberFormat="1" applyFill="1" applyAlignment="1">
      <alignment horizontal="right"/>
    </xf>
    <xf numFmtId="164" fontId="0" fillId="4" borderId="0" xfId="0" applyNumberFormat="1" applyFill="1" applyBorder="1" applyAlignment="1">
      <alignment horizontal="right"/>
    </xf>
    <xf numFmtId="3" fontId="1" fillId="4" borderId="0" xfId="1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3" fontId="3" fillId="4" borderId="0" xfId="1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/>
    </xf>
    <xf numFmtId="3" fontId="1" fillId="4" borderId="0" xfId="2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3" fontId="8" fillId="4" borderId="0" xfId="2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5" fontId="0" fillId="4" borderId="0" xfId="2" applyNumberFormat="1" applyFont="1" applyFill="1" applyAlignment="1">
      <alignment horizontal="right"/>
    </xf>
    <xf numFmtId="3" fontId="3" fillId="4" borderId="5" xfId="2" applyNumberFormat="1" applyFont="1" applyFill="1" applyBorder="1" applyAlignment="1">
      <alignment horizontal="right"/>
    </xf>
    <xf numFmtId="165" fontId="3" fillId="4" borderId="5" xfId="2" applyNumberFormat="1" applyFont="1" applyFill="1" applyBorder="1" applyAlignment="1">
      <alignment horizontal="right"/>
    </xf>
    <xf numFmtId="3" fontId="1" fillId="4" borderId="0" xfId="2" applyNumberForma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42" fontId="3" fillId="4" borderId="0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wrapText="1" indent="4"/>
    </xf>
    <xf numFmtId="0" fontId="16" fillId="0" borderId="0" xfId="0" applyFont="1" applyAlignment="1">
      <alignment horizontal="left" indent="4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wrapText="1" indent="4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 horizontal="center"/>
    </xf>
    <xf numFmtId="9" fontId="3" fillId="0" borderId="0" xfId="0" applyNumberFormat="1" applyFont="1" applyFill="1"/>
    <xf numFmtId="3" fontId="3" fillId="4" borderId="0" xfId="0" applyNumberFormat="1" applyFont="1" applyFill="1" applyAlignment="1">
      <alignment horizontal="center"/>
    </xf>
    <xf numFmtId="9" fontId="3" fillId="4" borderId="0" xfId="0" applyNumberFormat="1" applyFont="1" applyFill="1"/>
    <xf numFmtId="3" fontId="1" fillId="0" borderId="0" xfId="2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" borderId="0" xfId="2" applyNumberFormat="1" applyFont="1" applyFill="1" applyAlignment="1">
      <alignment horizontal="center"/>
    </xf>
    <xf numFmtId="165" fontId="1" fillId="3" borderId="0" xfId="2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5" fontId="1" fillId="3" borderId="0" xfId="2" applyNumberFormat="1" applyFill="1"/>
    <xf numFmtId="164" fontId="1" fillId="3" borderId="1" xfId="1" applyNumberFormat="1" applyFill="1" applyBorder="1"/>
    <xf numFmtId="164" fontId="1" fillId="3" borderId="1" xfId="1" applyNumberFormat="1" applyFill="1" applyBorder="1" applyAlignment="1">
      <alignment horizontal="left" indent="1"/>
    </xf>
    <xf numFmtId="42" fontId="0" fillId="3" borderId="1" xfId="0" applyNumberFormat="1" applyFill="1" applyBorder="1"/>
    <xf numFmtId="9" fontId="0" fillId="3" borderId="0" xfId="0" applyNumberFormat="1" applyFill="1"/>
    <xf numFmtId="3" fontId="1" fillId="3" borderId="0" xfId="2" applyNumberFormat="1" applyFill="1" applyAlignment="1"/>
    <xf numFmtId="3" fontId="1" fillId="3" borderId="0" xfId="1" applyNumberFormat="1" applyFill="1" applyBorder="1" applyAlignment="1"/>
    <xf numFmtId="3" fontId="1" fillId="3" borderId="1" xfId="1" applyNumberFormat="1" applyFill="1" applyBorder="1" applyAlignment="1"/>
    <xf numFmtId="3" fontId="1" fillId="3" borderId="0" xfId="2" applyNumberFormat="1" applyFill="1" applyAlignment="1">
      <alignment horizontal="center"/>
    </xf>
    <xf numFmtId="3" fontId="1" fillId="3" borderId="0" xfId="1" applyNumberFormat="1" applyFill="1" applyAlignment="1"/>
    <xf numFmtId="164" fontId="1" fillId="3" borderId="0" xfId="1" applyNumberFormat="1" applyFill="1" applyAlignment="1">
      <alignment horizontal="left" indent="1"/>
    </xf>
    <xf numFmtId="3" fontId="1" fillId="3" borderId="0" xfId="1" applyNumberFormat="1" applyFont="1" applyFill="1" applyAlignment="1"/>
    <xf numFmtId="164" fontId="1" fillId="3" borderId="0" xfId="1" applyNumberFormat="1" applyFont="1" applyFill="1" applyAlignment="1">
      <alignment horizontal="center"/>
    </xf>
    <xf numFmtId="165" fontId="1" fillId="3" borderId="0" xfId="2" applyNumberFormat="1" applyFont="1" applyFill="1" applyAlignment="1">
      <alignment horizontal="center"/>
    </xf>
    <xf numFmtId="3" fontId="1" fillId="3" borderId="0" xfId="1" applyNumberForma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3" fontId="1" fillId="3" borderId="1" xfId="1" applyNumberForma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42" fontId="1" fillId="3" borderId="1" xfId="1" applyNumberFormat="1" applyFont="1" applyFill="1" applyBorder="1"/>
    <xf numFmtId="164" fontId="0" fillId="3" borderId="1" xfId="1" applyNumberFormat="1" applyFont="1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3" fontId="1" fillId="3" borderId="0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42" fontId="1" fillId="3" borderId="0" xfId="1" applyNumberFormat="1" applyFill="1"/>
    <xf numFmtId="3" fontId="1" fillId="4" borderId="0" xfId="2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2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5" fontId="1" fillId="4" borderId="0" xfId="2" applyNumberFormat="1" applyFill="1"/>
    <xf numFmtId="3" fontId="1" fillId="4" borderId="1" xfId="1" applyNumberFormat="1" applyFill="1" applyBorder="1" applyAlignment="1">
      <alignment horizontal="center"/>
    </xf>
    <xf numFmtId="3" fontId="1" fillId="4" borderId="0" xfId="1" applyNumberForma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3" fontId="1" fillId="4" borderId="0" xfId="1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2" fontId="0" fillId="4" borderId="1" xfId="0" applyNumberFormat="1" applyFill="1" applyBorder="1" applyAlignment="1">
      <alignment horizontal="center"/>
    </xf>
    <xf numFmtId="9" fontId="0" fillId="4" borderId="0" xfId="0" applyNumberFormat="1" applyFill="1"/>
    <xf numFmtId="3" fontId="0" fillId="3" borderId="0" xfId="2" applyNumberFormat="1" applyFont="1" applyFill="1" applyAlignment="1"/>
    <xf numFmtId="0" fontId="0" fillId="3" borderId="1" xfId="0" applyFill="1" applyBorder="1"/>
    <xf numFmtId="9" fontId="0" fillId="3" borderId="0" xfId="0" applyNumberFormat="1" applyFill="1" applyAlignment="1"/>
    <xf numFmtId="0" fontId="5" fillId="2" borderId="2" xfId="0" applyFont="1" applyFill="1" applyBorder="1" applyAlignment="1">
      <alignment horizontal="right"/>
    </xf>
    <xf numFmtId="0" fontId="3" fillId="2" borderId="2" xfId="0" applyFont="1" applyFill="1" applyBorder="1"/>
    <xf numFmtId="0" fontId="0" fillId="4" borderId="1" xfId="0" applyFill="1" applyBorder="1" applyAlignment="1">
      <alignment horizontal="center"/>
    </xf>
    <xf numFmtId="9" fontId="0" fillId="4" borderId="0" xfId="0" applyNumberFormat="1" applyFill="1" applyAlignment="1"/>
    <xf numFmtId="0" fontId="0" fillId="4" borderId="0" xfId="0" applyFill="1"/>
    <xf numFmtId="3" fontId="0" fillId="3" borderId="1" xfId="0" applyNumberFormat="1" applyFill="1" applyBorder="1" applyAlignment="1"/>
    <xf numFmtId="42" fontId="1" fillId="3" borderId="1" xfId="1" applyNumberFormat="1" applyFill="1" applyBorder="1"/>
    <xf numFmtId="0" fontId="0" fillId="3" borderId="1" xfId="0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0" fillId="3" borderId="0" xfId="0" applyFill="1" applyAlignment="1"/>
    <xf numFmtId="3" fontId="1" fillId="3" borderId="0" xfId="2" applyNumberFormat="1" applyFont="1" applyFill="1" applyAlignment="1"/>
    <xf numFmtId="165" fontId="1" fillId="3" borderId="0" xfId="2" applyNumberFormat="1" applyFill="1" applyAlignment="1"/>
    <xf numFmtId="164" fontId="1" fillId="3" borderId="0" xfId="1" applyNumberFormat="1" applyFill="1" applyAlignment="1"/>
    <xf numFmtId="164" fontId="1" fillId="3" borderId="1" xfId="1" applyNumberFormat="1" applyFill="1" applyBorder="1" applyAlignment="1"/>
    <xf numFmtId="0" fontId="0" fillId="3" borderId="1" xfId="0" applyFill="1" applyBorder="1" applyAlignment="1"/>
    <xf numFmtId="42" fontId="0" fillId="3" borderId="1" xfId="0" applyNumberFormat="1" applyFill="1" applyBorder="1" applyAlignment="1"/>
    <xf numFmtId="3" fontId="3" fillId="2" borderId="2" xfId="0" applyNumberFormat="1" applyFont="1" applyFill="1" applyBorder="1" applyAlignment="1"/>
    <xf numFmtId="165" fontId="3" fillId="2" borderId="2" xfId="2" applyNumberFormat="1" applyFont="1" applyFill="1" applyBorder="1" applyAlignment="1"/>
    <xf numFmtId="0" fontId="3" fillId="2" borderId="2" xfId="2" applyNumberFormat="1" applyFont="1" applyFill="1" applyBorder="1" applyAlignment="1"/>
    <xf numFmtId="41" fontId="3" fillId="2" borderId="2" xfId="2" applyNumberFormat="1" applyFont="1" applyFill="1" applyBorder="1" applyAlignment="1"/>
    <xf numFmtId="42" fontId="3" fillId="2" borderId="2" xfId="2" applyNumberFormat="1" applyFont="1" applyFill="1" applyBorder="1" applyAlignment="1"/>
    <xf numFmtId="37" fontId="3" fillId="2" borderId="2" xfId="2" applyNumberFormat="1" applyFont="1" applyFill="1" applyBorder="1" applyAlignment="1"/>
    <xf numFmtId="3" fontId="0" fillId="4" borderId="0" xfId="0" applyNumberFormat="1" applyFill="1" applyAlignment="1"/>
    <xf numFmtId="0" fontId="0" fillId="4" borderId="0" xfId="0" applyFill="1" applyAlignment="1"/>
    <xf numFmtId="3" fontId="1" fillId="4" borderId="0" xfId="2" applyNumberFormat="1" applyFill="1" applyAlignment="1"/>
    <xf numFmtId="164" fontId="0" fillId="4" borderId="0" xfId="0" applyNumberFormat="1" applyFill="1" applyAlignment="1"/>
    <xf numFmtId="3" fontId="1" fillId="4" borderId="0" xfId="1" applyNumberFormat="1" applyFill="1" applyAlignment="1"/>
    <xf numFmtId="3" fontId="1" fillId="4" borderId="1" xfId="1" applyNumberFormat="1" applyFill="1" applyBorder="1" applyAlignment="1"/>
    <xf numFmtId="164" fontId="0" fillId="4" borderId="1" xfId="0" applyNumberFormat="1" applyFill="1" applyBorder="1" applyAlignment="1"/>
    <xf numFmtId="165" fontId="1" fillId="4" borderId="0" xfId="2" applyNumberFormat="1" applyFill="1" applyAlignment="1"/>
    <xf numFmtId="164" fontId="0" fillId="4" borderId="0" xfId="0" applyNumberFormat="1" applyFill="1" applyBorder="1" applyAlignment="1"/>
    <xf numFmtId="3" fontId="1" fillId="4" borderId="0" xfId="1" applyNumberFormat="1" applyFill="1" applyBorder="1" applyAlignment="1"/>
    <xf numFmtId="3" fontId="0" fillId="4" borderId="1" xfId="0" applyNumberFormat="1" applyFill="1" applyBorder="1" applyAlignment="1"/>
    <xf numFmtId="0" fontId="0" fillId="4" borderId="1" xfId="0" applyFill="1" applyBorder="1" applyAlignment="1"/>
    <xf numFmtId="42" fontId="0" fillId="4" borderId="1" xfId="0" applyNumberFormat="1" applyFill="1" applyBorder="1" applyAlignment="1"/>
    <xf numFmtId="0" fontId="0" fillId="3" borderId="0" xfId="0" applyNumberFormat="1" applyFill="1" applyAlignment="1">
      <alignment horizontal="center"/>
    </xf>
    <xf numFmtId="0" fontId="0" fillId="3" borderId="0" xfId="0" applyNumberFormat="1" applyFill="1" applyAlignment="1"/>
    <xf numFmtId="164" fontId="1" fillId="3" borderId="0" xfId="1" applyNumberFormat="1" applyFont="1" applyFill="1" applyAlignment="1"/>
    <xf numFmtId="165" fontId="1" fillId="3" borderId="0" xfId="2" applyNumberFormat="1" applyFont="1" applyFill="1" applyAlignment="1"/>
    <xf numFmtId="3" fontId="1" fillId="3" borderId="1" xfId="2" applyNumberFormat="1" applyFill="1" applyBorder="1" applyAlignment="1"/>
    <xf numFmtId="164" fontId="1" fillId="3" borderId="1" xfId="1" applyNumberFormat="1" applyFont="1" applyFill="1" applyBorder="1" applyAlignment="1"/>
    <xf numFmtId="0" fontId="1" fillId="3" borderId="0" xfId="2" applyNumberFormat="1" applyFill="1" applyAlignment="1"/>
    <xf numFmtId="0" fontId="1" fillId="3" borderId="1" xfId="1" applyNumberFormat="1" applyFill="1" applyBorder="1" applyAlignment="1"/>
    <xf numFmtId="0" fontId="1" fillId="3" borderId="0" xfId="1" applyNumberFormat="1" applyFill="1" applyAlignment="1"/>
    <xf numFmtId="0" fontId="0" fillId="3" borderId="1" xfId="0" applyNumberFormat="1" applyFill="1" applyBorder="1" applyAlignment="1"/>
    <xf numFmtId="3" fontId="1" fillId="3" borderId="0" xfId="2" applyNumberFormat="1" applyFill="1" applyBorder="1" applyAlignment="1"/>
    <xf numFmtId="42" fontId="1" fillId="3" borderId="1" xfId="1" applyNumberFormat="1" applyFill="1" applyBorder="1" applyAlignment="1"/>
    <xf numFmtId="41" fontId="0" fillId="3" borderId="0" xfId="0" applyNumberFormat="1" applyFill="1" applyAlignment="1">
      <alignment horizontal="center"/>
    </xf>
    <xf numFmtId="41" fontId="0" fillId="3" borderId="0" xfId="0" applyNumberFormat="1" applyFill="1" applyAlignment="1"/>
    <xf numFmtId="41" fontId="1" fillId="3" borderId="0" xfId="2" applyNumberFormat="1" applyFill="1" applyAlignment="1"/>
    <xf numFmtId="41" fontId="1" fillId="3" borderId="0" xfId="1" applyNumberFormat="1" applyFill="1" applyAlignment="1"/>
    <xf numFmtId="41" fontId="1" fillId="3" borderId="1" xfId="1" applyNumberFormat="1" applyFill="1" applyBorder="1" applyAlignment="1"/>
    <xf numFmtId="41" fontId="1" fillId="3" borderId="0" xfId="1" applyNumberFormat="1" applyFont="1" applyFill="1" applyAlignment="1"/>
    <xf numFmtId="41" fontId="1" fillId="3" borderId="0" xfId="2" applyNumberFormat="1" applyFont="1" applyFill="1" applyAlignment="1"/>
    <xf numFmtId="41" fontId="1" fillId="3" borderId="1" xfId="1" applyNumberFormat="1" applyFont="1" applyFill="1" applyBorder="1" applyAlignment="1"/>
    <xf numFmtId="42" fontId="1" fillId="3" borderId="0" xfId="1" applyNumberFormat="1" applyFill="1" applyAlignment="1"/>
    <xf numFmtId="41" fontId="0" fillId="3" borderId="1" xfId="0" applyNumberFormat="1" applyFill="1" applyBorder="1" applyAlignment="1"/>
    <xf numFmtId="44" fontId="0" fillId="3" borderId="1" xfId="0" applyNumberFormat="1" applyFill="1" applyBorder="1" applyAlignment="1"/>
    <xf numFmtId="164" fontId="1" fillId="3" borderId="0" xfId="2" applyNumberFormat="1" applyFill="1" applyAlignment="1"/>
    <xf numFmtId="0" fontId="0" fillId="3" borderId="1" xfId="0" applyNumberFormat="1" applyFill="1" applyBorder="1" applyAlignment="1">
      <alignment horizontal="center"/>
    </xf>
    <xf numFmtId="37" fontId="3" fillId="2" borderId="2" xfId="2" applyNumberFormat="1" applyFont="1" applyFill="1" applyBorder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1" applyNumberFormat="1" applyFont="1" applyFill="1"/>
    <xf numFmtId="164" fontId="0" fillId="3" borderId="1" xfId="1" applyNumberFormat="1" applyFont="1" applyFill="1" applyBorder="1"/>
    <xf numFmtId="0" fontId="3" fillId="2" borderId="0" xfId="0" applyFont="1" applyFill="1"/>
    <xf numFmtId="164" fontId="3" fillId="2" borderId="0" xfId="1" applyNumberFormat="1" applyFont="1" applyFill="1"/>
    <xf numFmtId="164" fontId="3" fillId="2" borderId="0" xfId="0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9" fontId="5" fillId="4" borderId="0" xfId="3" applyFont="1" applyFill="1"/>
    <xf numFmtId="165" fontId="0" fillId="3" borderId="0" xfId="2" applyNumberFormat="1" applyFont="1" applyFill="1" applyAlignment="1">
      <alignment horizontal="center"/>
    </xf>
    <xf numFmtId="165" fontId="0" fillId="3" borderId="0" xfId="2" applyNumberFormat="1" applyFont="1" applyFill="1"/>
    <xf numFmtId="164" fontId="0" fillId="3" borderId="0" xfId="1" applyNumberFormat="1" applyFont="1" applyFill="1" applyAlignment="1">
      <alignment horizontal="left" indent="1"/>
    </xf>
    <xf numFmtId="164" fontId="0" fillId="3" borderId="1" xfId="1" applyNumberFormat="1" applyFont="1" applyFill="1" applyBorder="1" applyAlignment="1">
      <alignment horizontal="left" indent="1"/>
    </xf>
    <xf numFmtId="0" fontId="6" fillId="4" borderId="0" xfId="0" applyFont="1" applyFill="1" applyAlignment="1">
      <alignment horizontal="center"/>
    </xf>
    <xf numFmtId="165" fontId="0" fillId="4" borderId="0" xfId="2" applyNumberFormat="1" applyFont="1" applyFill="1"/>
    <xf numFmtId="165" fontId="3" fillId="2" borderId="0" xfId="2" applyNumberFormat="1" applyFont="1" applyFill="1"/>
    <xf numFmtId="165" fontId="3" fillId="2" borderId="0" xfId="2" applyNumberFormat="1" applyFont="1" applyFill="1" applyAlignment="1">
      <alignment horizontal="center"/>
    </xf>
    <xf numFmtId="0" fontId="2" fillId="0" borderId="0" xfId="0" applyFont="1" applyFill="1" applyBorder="1"/>
    <xf numFmtId="164" fontId="1" fillId="0" borderId="0" xfId="1" applyNumberFormat="1" applyFill="1"/>
    <xf numFmtId="3" fontId="1" fillId="0" borderId="0" xfId="1" applyNumberFormat="1" applyFill="1" applyAlignment="1">
      <alignment horizontal="center"/>
    </xf>
    <xf numFmtId="0" fontId="0" fillId="0" borderId="0" xfId="0" applyFill="1" applyAlignment="1">
      <alignment horizontal="center"/>
    </xf>
    <xf numFmtId="42" fontId="0" fillId="0" borderId="0" xfId="0" applyNumberFormat="1" applyFill="1" applyAlignment="1">
      <alignment horizontal="center"/>
    </xf>
    <xf numFmtId="3" fontId="18" fillId="0" borderId="0" xfId="2" applyNumberFormat="1" applyFont="1" applyAlignment="1">
      <alignment horizontal="right"/>
    </xf>
    <xf numFmtId="3" fontId="18" fillId="0" borderId="0" xfId="2" applyNumberFormat="1" applyFont="1" applyAlignment="1">
      <alignment horizontal="left"/>
    </xf>
    <xf numFmtId="164" fontId="1" fillId="0" borderId="0" xfId="1" applyNumberFormat="1" applyFont="1" applyAlignment="1">
      <alignment horizontal="right"/>
    </xf>
    <xf numFmtId="164" fontId="8" fillId="0" borderId="0" xfId="1" applyNumberFormat="1" applyFont="1" applyFill="1" applyAlignment="1">
      <alignment horizontal="right"/>
    </xf>
    <xf numFmtId="165" fontId="19" fillId="2" borderId="0" xfId="2" applyNumberFormat="1" applyFont="1" applyFill="1" applyBorder="1" applyAlignment="1">
      <alignment horizontal="right"/>
    </xf>
    <xf numFmtId="44" fontId="3" fillId="4" borderId="0" xfId="0" applyNumberFormat="1" applyFont="1" applyFill="1" applyAlignment="1">
      <alignment horizontal="right"/>
    </xf>
    <xf numFmtId="40" fontId="5" fillId="2" borderId="0" xfId="0" applyNumberFormat="1" applyFont="1" applyFill="1" applyBorder="1" applyAlignment="1">
      <alignment horizontal="left" wrapText="1"/>
    </xf>
    <xf numFmtId="40" fontId="3" fillId="2" borderId="0" xfId="2" applyNumberFormat="1" applyFont="1" applyFill="1" applyBorder="1" applyAlignment="1">
      <alignment horizontal="right"/>
    </xf>
    <xf numFmtId="40" fontId="3" fillId="0" borderId="0" xfId="0" applyNumberFormat="1" applyFont="1" applyBorder="1" applyAlignment="1">
      <alignment horizontal="right"/>
    </xf>
    <xf numFmtId="4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165" fontId="3" fillId="0" borderId="0" xfId="2" applyNumberFormat="1" applyFont="1" applyBorder="1" applyAlignment="1">
      <alignment horizontal="right"/>
    </xf>
    <xf numFmtId="3" fontId="3" fillId="4" borderId="0" xfId="2" applyNumberFormat="1" applyFont="1" applyFill="1" applyBorder="1" applyAlignment="1">
      <alignment horizontal="right"/>
    </xf>
    <xf numFmtId="165" fontId="3" fillId="4" borderId="0" xfId="2" applyNumberFormat="1" applyFont="1" applyFill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3" fillId="4" borderId="5" xfId="2" applyNumberFormat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43" fontId="1" fillId="4" borderId="0" xfId="1" applyFont="1" applyFill="1" applyBorder="1" applyAlignment="1">
      <alignment horizontal="right"/>
    </xf>
    <xf numFmtId="165" fontId="3" fillId="0" borderId="5" xfId="2" applyNumberFormat="1" applyFont="1" applyFill="1" applyBorder="1" applyAlignment="1">
      <alignment horizontal="right"/>
    </xf>
    <xf numFmtId="42" fontId="3" fillId="4" borderId="5" xfId="0" applyNumberFormat="1" applyFont="1" applyFill="1" applyBorder="1" applyAlignment="1">
      <alignment horizontal="right"/>
    </xf>
    <xf numFmtId="42" fontId="3" fillId="0" borderId="0" xfId="1" applyNumberFormat="1" applyFont="1" applyFill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4" borderId="6" xfId="2" applyNumberFormat="1" applyFont="1" applyFill="1" applyBorder="1" applyAlignment="1">
      <alignment horizontal="right"/>
    </xf>
    <xf numFmtId="42" fontId="3" fillId="4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2" applyNumberFormat="1" applyFont="1" applyAlignment="1">
      <alignment horizontal="left" indent="1"/>
    </xf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42" fontId="1" fillId="0" borderId="0" xfId="0" applyNumberFormat="1" applyFont="1" applyFill="1" applyAlignment="1">
      <alignment horizontal="right"/>
    </xf>
    <xf numFmtId="44" fontId="0" fillId="0" borderId="0" xfId="0" applyNumberFormat="1" applyAlignment="1">
      <alignment horizontal="right"/>
    </xf>
    <xf numFmtId="6" fontId="3" fillId="2" borderId="0" xfId="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0" fillId="5" borderId="0" xfId="0" applyNumberForma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5" borderId="0" xfId="0" applyFill="1"/>
    <xf numFmtId="3" fontId="0" fillId="5" borderId="4" xfId="0" applyNumberFormat="1" applyFill="1" applyBorder="1" applyAlignment="1">
      <alignment horizontal="right"/>
    </xf>
    <xf numFmtId="0" fontId="0" fillId="5" borderId="0" xfId="0" applyFill="1" applyAlignment="1">
      <alignment horizontal="right"/>
    </xf>
    <xf numFmtId="3" fontId="0" fillId="5" borderId="0" xfId="0" applyNumberFormat="1" applyFill="1" applyAlignment="1">
      <alignment horizontal="right"/>
    </xf>
    <xf numFmtId="164" fontId="1" fillId="5" borderId="0" xfId="1" applyNumberFormat="1" applyFill="1" applyAlignment="1">
      <alignment horizontal="right"/>
    </xf>
    <xf numFmtId="3" fontId="0" fillId="5" borderId="0" xfId="0" applyNumberFormat="1" applyFill="1" applyBorder="1" applyAlignment="1">
      <alignment horizontal="right"/>
    </xf>
    <xf numFmtId="164" fontId="1" fillId="5" borderId="1" xfId="1" applyNumberFormat="1" applyFill="1" applyBorder="1" applyAlignment="1">
      <alignment horizontal="right" indent="1"/>
    </xf>
    <xf numFmtId="3" fontId="3" fillId="5" borderId="0" xfId="0" applyNumberFormat="1" applyFont="1" applyFill="1" applyBorder="1" applyAlignment="1">
      <alignment horizontal="right"/>
    </xf>
    <xf numFmtId="42" fontId="3" fillId="5" borderId="0" xfId="1" applyNumberFormat="1" applyFont="1" applyFill="1" applyAlignment="1">
      <alignment horizontal="right"/>
    </xf>
    <xf numFmtId="3" fontId="1" fillId="5" borderId="0" xfId="2" applyNumberFormat="1" applyFont="1" applyFill="1" applyAlignment="1">
      <alignment horizontal="right"/>
    </xf>
    <xf numFmtId="164" fontId="1" fillId="5" borderId="0" xfId="1" applyNumberFormat="1" applyFill="1" applyBorder="1" applyAlignment="1">
      <alignment horizontal="right" indent="1"/>
    </xf>
    <xf numFmtId="3" fontId="8" fillId="5" borderId="0" xfId="2" applyNumberFormat="1" applyFont="1" applyFill="1" applyAlignment="1">
      <alignment horizontal="right"/>
    </xf>
    <xf numFmtId="164" fontId="8" fillId="5" borderId="0" xfId="1" applyNumberFormat="1" applyFont="1" applyFill="1" applyAlignment="1">
      <alignment horizontal="right"/>
    </xf>
    <xf numFmtId="3" fontId="3" fillId="5" borderId="6" xfId="0" applyNumberFormat="1" applyFont="1" applyFill="1" applyBorder="1" applyAlignment="1">
      <alignment horizontal="right"/>
    </xf>
    <xf numFmtId="165" fontId="3" fillId="5" borderId="6" xfId="2" applyNumberFormat="1" applyFont="1" applyFill="1" applyBorder="1" applyAlignment="1">
      <alignment horizontal="right"/>
    </xf>
    <xf numFmtId="165" fontId="3" fillId="5" borderId="0" xfId="2" applyNumberFormat="1" applyFont="1" applyFill="1" applyBorder="1" applyAlignment="1">
      <alignment horizontal="right"/>
    </xf>
    <xf numFmtId="43" fontId="1" fillId="5" borderId="0" xfId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165" fontId="3" fillId="5" borderId="5" xfId="2" applyNumberFormat="1" applyFont="1" applyFill="1" applyBorder="1" applyAlignment="1">
      <alignment horizontal="right"/>
    </xf>
    <xf numFmtId="164" fontId="3" fillId="5" borderId="0" xfId="1" applyNumberFormat="1" applyFont="1" applyFill="1" applyBorder="1" applyAlignment="1">
      <alignment horizontal="right"/>
    </xf>
    <xf numFmtId="42" fontId="3" fillId="5" borderId="0" xfId="0" applyNumberFormat="1" applyFont="1" applyFill="1" applyBorder="1" applyAlignment="1">
      <alignment horizontal="right"/>
    </xf>
    <xf numFmtId="3" fontId="3" fillId="5" borderId="0" xfId="0" applyNumberFormat="1" applyFont="1" applyFill="1" applyAlignment="1">
      <alignment horizontal="center"/>
    </xf>
    <xf numFmtId="9" fontId="3" fillId="5" borderId="0" xfId="0" applyNumberFormat="1" applyFont="1" applyFill="1"/>
    <xf numFmtId="3" fontId="1" fillId="5" borderId="0" xfId="1" applyNumberFormat="1" applyFill="1" applyAlignment="1">
      <alignment horizontal="center"/>
    </xf>
    <xf numFmtId="164" fontId="1" fillId="5" borderId="0" xfId="1" applyNumberFormat="1" applyFill="1"/>
    <xf numFmtId="3" fontId="1" fillId="5" borderId="4" xfId="1" applyNumberFormat="1" applyFill="1" applyBorder="1" applyAlignment="1">
      <alignment horizontal="right"/>
    </xf>
    <xf numFmtId="3" fontId="1" fillId="5" borderId="0" xfId="1" applyNumberFormat="1" applyFill="1" applyAlignment="1">
      <alignment horizontal="right"/>
    </xf>
    <xf numFmtId="164" fontId="1" fillId="5" borderId="0" xfId="1" applyNumberFormat="1" applyFill="1" applyAlignment="1">
      <alignment horizontal="right" indent="1"/>
    </xf>
    <xf numFmtId="3" fontId="1" fillId="5" borderId="0" xfId="1" applyNumberFormat="1" applyFill="1" applyBorder="1" applyAlignment="1">
      <alignment horizontal="right"/>
    </xf>
    <xf numFmtId="3" fontId="3" fillId="5" borderId="0" xfId="1" applyNumberFormat="1" applyFont="1" applyFill="1" applyBorder="1" applyAlignment="1">
      <alignment horizontal="right"/>
    </xf>
    <xf numFmtId="165" fontId="1" fillId="5" borderId="0" xfId="2" applyNumberFormat="1" applyFill="1" applyAlignment="1">
      <alignment horizontal="right"/>
    </xf>
    <xf numFmtId="4" fontId="3" fillId="5" borderId="5" xfId="1" applyNumberFormat="1" applyFont="1" applyFill="1" applyBorder="1" applyAlignment="1">
      <alignment horizontal="right"/>
    </xf>
    <xf numFmtId="3" fontId="0" fillId="5" borderId="0" xfId="0" applyNumberFormat="1" applyFill="1" applyAlignment="1"/>
    <xf numFmtId="3" fontId="1" fillId="5" borderId="0" xfId="2" applyNumberFormat="1" applyFill="1" applyAlignment="1">
      <alignment horizontal="right"/>
    </xf>
    <xf numFmtId="164" fontId="8" fillId="5" borderId="0" xfId="1" applyNumberFormat="1" applyFont="1" applyFill="1" applyAlignment="1">
      <alignment horizontal="center"/>
    </xf>
    <xf numFmtId="164" fontId="1" fillId="5" borderId="1" xfId="1" applyNumberFormat="1" applyFill="1" applyBorder="1" applyAlignment="1">
      <alignment horizontal="right"/>
    </xf>
    <xf numFmtId="164" fontId="1" fillId="5" borderId="0" xfId="1" applyNumberFormat="1" applyFont="1" applyFill="1" applyAlignment="1">
      <alignment horizontal="right"/>
    </xf>
    <xf numFmtId="165" fontId="1" fillId="5" borderId="0" xfId="2" applyNumberFormat="1" applyFont="1" applyFill="1" applyAlignment="1">
      <alignment horizontal="right"/>
    </xf>
    <xf numFmtId="42" fontId="3" fillId="5" borderId="0" xfId="1" applyNumberFormat="1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164" fontId="1" fillId="5" borderId="0" xfId="1" applyNumberFormat="1" applyFill="1" applyAlignment="1">
      <alignment horizontal="center"/>
    </xf>
    <xf numFmtId="3" fontId="1" fillId="5" borderId="0" xfId="1" applyNumberFormat="1" applyFont="1" applyFill="1" applyAlignment="1">
      <alignment horizontal="right"/>
    </xf>
    <xf numFmtId="0" fontId="20" fillId="0" borderId="0" xfId="0" applyFont="1" applyAlignment="1">
      <alignment horizontal="left"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5" borderId="0" xfId="1" applyNumberFormat="1" applyFont="1" applyFill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/>
    <xf numFmtId="3" fontId="1" fillId="4" borderId="0" xfId="2" applyNumberFormat="1" applyFont="1" applyFill="1" applyAlignment="1">
      <alignment horizontal="right"/>
    </xf>
    <xf numFmtId="164" fontId="1" fillId="4" borderId="0" xfId="1" applyNumberFormat="1" applyFont="1" applyFill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/>
    <xf numFmtId="0" fontId="20" fillId="0" borderId="0" xfId="0" applyFont="1" applyAlignment="1">
      <alignment horizontal="left" vertical="center"/>
    </xf>
    <xf numFmtId="9" fontId="1" fillId="0" borderId="0" xfId="2" applyNumberFormat="1" applyFont="1" applyAlignment="1">
      <alignment horizontal="left"/>
    </xf>
    <xf numFmtId="165" fontId="1" fillId="0" borderId="0" xfId="2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/>
  </sheetViews>
  <sheetFormatPr defaultRowHeight="12.75" x14ac:dyDescent="0.2"/>
  <cols>
    <col min="1" max="1" width="92.85546875" customWidth="1"/>
  </cols>
  <sheetData>
    <row r="1" spans="1:1" s="6" customFormat="1" ht="15" x14ac:dyDescent="0.25">
      <c r="A1" s="304" t="s">
        <v>147</v>
      </c>
    </row>
    <row r="2" spans="1:1" ht="15" x14ac:dyDescent="0.25">
      <c r="A2" s="294"/>
    </row>
    <row r="3" spans="1:1" ht="15" x14ac:dyDescent="0.25">
      <c r="A3" s="295" t="s">
        <v>66</v>
      </c>
    </row>
    <row r="4" spans="1:1" ht="14.25" x14ac:dyDescent="0.2">
      <c r="A4" s="296"/>
    </row>
    <row r="5" spans="1:1" ht="15" x14ac:dyDescent="0.25">
      <c r="A5" s="294" t="s">
        <v>92</v>
      </c>
    </row>
    <row r="6" spans="1:1" ht="14.25" x14ac:dyDescent="0.2">
      <c r="A6" s="296" t="s">
        <v>67</v>
      </c>
    </row>
    <row r="7" spans="1:1" ht="29.25" x14ac:dyDescent="0.2">
      <c r="A7" s="297" t="s">
        <v>68</v>
      </c>
    </row>
    <row r="8" spans="1:1" ht="15" x14ac:dyDescent="0.25">
      <c r="A8" s="298" t="s">
        <v>148</v>
      </c>
    </row>
    <row r="9" spans="1:1" ht="14.25" x14ac:dyDescent="0.2">
      <c r="A9" s="296"/>
    </row>
    <row r="10" spans="1:1" ht="15" x14ac:dyDescent="0.25">
      <c r="A10" s="294" t="s">
        <v>94</v>
      </c>
    </row>
    <row r="11" spans="1:1" ht="14.25" x14ac:dyDescent="0.2">
      <c r="A11" s="296" t="s">
        <v>69</v>
      </c>
    </row>
    <row r="12" spans="1:1" ht="29.25" x14ac:dyDescent="0.2">
      <c r="A12" s="297" t="s">
        <v>70</v>
      </c>
    </row>
    <row r="13" spans="1:1" x14ac:dyDescent="0.2">
      <c r="A13" s="218" t="s">
        <v>143</v>
      </c>
    </row>
    <row r="14" spans="1:1" ht="15" hidden="1" x14ac:dyDescent="0.25">
      <c r="A14" s="294" t="s">
        <v>71</v>
      </c>
    </row>
    <row r="15" spans="1:1" ht="42.75" hidden="1" x14ac:dyDescent="0.2">
      <c r="A15" s="299" t="s">
        <v>149</v>
      </c>
    </row>
    <row r="16" spans="1:1" ht="15" hidden="1" x14ac:dyDescent="0.25">
      <c r="A16" s="294"/>
    </row>
    <row r="17" spans="1:1" ht="15" hidden="1" x14ac:dyDescent="0.25">
      <c r="A17" s="294" t="s">
        <v>72</v>
      </c>
    </row>
    <row r="18" spans="1:1" ht="28.5" hidden="1" x14ac:dyDescent="0.2">
      <c r="A18" s="299" t="s">
        <v>150</v>
      </c>
    </row>
    <row r="19" spans="1:1" ht="14.25" hidden="1" x14ac:dyDescent="0.2">
      <c r="A19" s="296"/>
    </row>
    <row r="20" spans="1:1" ht="14.25" hidden="1" x14ac:dyDescent="0.2">
      <c r="A20" s="296"/>
    </row>
    <row r="21" spans="1:1" ht="15" hidden="1" x14ac:dyDescent="0.25">
      <c r="A21" s="295" t="s">
        <v>73</v>
      </c>
    </row>
    <row r="22" spans="1:1" ht="14.25" hidden="1" x14ac:dyDescent="0.2">
      <c r="A22" s="296"/>
    </row>
    <row r="23" spans="1:1" ht="15" hidden="1" x14ac:dyDescent="0.25">
      <c r="A23" s="294" t="s">
        <v>95</v>
      </c>
    </row>
    <row r="24" spans="1:1" ht="28.5" hidden="1" x14ac:dyDescent="0.2">
      <c r="A24" s="299" t="s">
        <v>74</v>
      </c>
    </row>
    <row r="25" spans="1:1" ht="14.25" hidden="1" x14ac:dyDescent="0.2">
      <c r="A25" s="296"/>
    </row>
    <row r="26" spans="1:1" ht="15" hidden="1" x14ac:dyDescent="0.25">
      <c r="A26" s="294" t="s">
        <v>75</v>
      </c>
    </row>
    <row r="27" spans="1:1" ht="28.5" hidden="1" x14ac:dyDescent="0.2">
      <c r="A27" s="299" t="s">
        <v>76</v>
      </c>
    </row>
    <row r="28" spans="1:1" ht="14.25" hidden="1" x14ac:dyDescent="0.2">
      <c r="A28" s="296"/>
    </row>
    <row r="29" spans="1:1" ht="15" hidden="1" x14ac:dyDescent="0.25">
      <c r="A29" s="294" t="s">
        <v>96</v>
      </c>
    </row>
    <row r="30" spans="1:1" ht="42.75" hidden="1" x14ac:dyDescent="0.2">
      <c r="A30" s="299" t="s">
        <v>77</v>
      </c>
    </row>
    <row r="31" spans="1:1" ht="14.25" hidden="1" x14ac:dyDescent="0.2">
      <c r="A31" s="296"/>
    </row>
    <row r="32" spans="1:1" ht="15" hidden="1" x14ac:dyDescent="0.25">
      <c r="A32" s="294" t="s">
        <v>97</v>
      </c>
    </row>
    <row r="33" spans="1:1" ht="28.5" hidden="1" x14ac:dyDescent="0.2">
      <c r="A33" s="299" t="s">
        <v>78</v>
      </c>
    </row>
    <row r="34" spans="1:1" ht="14.25" hidden="1" x14ac:dyDescent="0.2">
      <c r="A34" s="296"/>
    </row>
    <row r="35" spans="1:1" ht="15" hidden="1" x14ac:dyDescent="0.25">
      <c r="A35" s="294" t="s">
        <v>98</v>
      </c>
    </row>
    <row r="36" spans="1:1" ht="28.5" hidden="1" x14ac:dyDescent="0.2">
      <c r="A36" s="299" t="s">
        <v>79</v>
      </c>
    </row>
    <row r="37" spans="1:1" ht="14.25" hidden="1" x14ac:dyDescent="0.2">
      <c r="A37" s="296"/>
    </row>
    <row r="38" spans="1:1" ht="30" hidden="1" x14ac:dyDescent="0.25">
      <c r="A38" s="300" t="s">
        <v>80</v>
      </c>
    </row>
    <row r="39" spans="1:1" ht="15" hidden="1" x14ac:dyDescent="0.25">
      <c r="A39" s="298" t="s">
        <v>99</v>
      </c>
    </row>
    <row r="40" spans="1:1" ht="28.5" hidden="1" x14ac:dyDescent="0.2">
      <c r="A40" s="301" t="s">
        <v>81</v>
      </c>
    </row>
    <row r="41" spans="1:1" ht="14.25" hidden="1" x14ac:dyDescent="0.2">
      <c r="A41" s="296"/>
    </row>
    <row r="42" spans="1:1" ht="15" hidden="1" x14ac:dyDescent="0.25">
      <c r="A42" s="298" t="s">
        <v>100</v>
      </c>
    </row>
    <row r="43" spans="1:1" ht="28.5" hidden="1" x14ac:dyDescent="0.2">
      <c r="A43" s="301" t="s">
        <v>82</v>
      </c>
    </row>
    <row r="44" spans="1:1" ht="14.25" hidden="1" x14ac:dyDescent="0.2">
      <c r="A44" s="296"/>
    </row>
    <row r="45" spans="1:1" ht="15" hidden="1" x14ac:dyDescent="0.25">
      <c r="A45" s="298" t="s">
        <v>83</v>
      </c>
    </row>
    <row r="46" spans="1:1" ht="28.5" hidden="1" x14ac:dyDescent="0.2">
      <c r="A46" s="301" t="s">
        <v>84</v>
      </c>
    </row>
    <row r="47" spans="1:1" ht="14.25" hidden="1" x14ac:dyDescent="0.2">
      <c r="A47" s="296"/>
    </row>
    <row r="48" spans="1:1" ht="15" hidden="1" x14ac:dyDescent="0.25">
      <c r="A48" s="298" t="s">
        <v>85</v>
      </c>
    </row>
    <row r="49" spans="1:1" ht="28.5" hidden="1" x14ac:dyDescent="0.2">
      <c r="A49" s="301" t="s">
        <v>86</v>
      </c>
    </row>
    <row r="50" spans="1:1" ht="14.25" hidden="1" x14ac:dyDescent="0.2">
      <c r="A50" s="296"/>
    </row>
    <row r="51" spans="1:1" ht="14.25" hidden="1" x14ac:dyDescent="0.2">
      <c r="A51" s="296"/>
    </row>
    <row r="52" spans="1:1" ht="14.25" x14ac:dyDescent="0.2">
      <c r="A52" s="296"/>
    </row>
    <row r="53" spans="1:1" ht="15" x14ac:dyDescent="0.25">
      <c r="A53" s="295" t="s">
        <v>87</v>
      </c>
    </row>
    <row r="54" spans="1:1" ht="15" x14ac:dyDescent="0.25">
      <c r="A54" s="294"/>
    </row>
    <row r="55" spans="1:1" ht="15" x14ac:dyDescent="0.25">
      <c r="A55" s="298" t="s">
        <v>88</v>
      </c>
    </row>
    <row r="56" spans="1:1" ht="14.25" x14ac:dyDescent="0.2">
      <c r="A56" s="302"/>
    </row>
    <row r="57" spans="1:1" ht="43.5" x14ac:dyDescent="0.2">
      <c r="A57" s="297" t="s">
        <v>89</v>
      </c>
    </row>
    <row r="58" spans="1:1" ht="14.25" x14ac:dyDescent="0.2">
      <c r="A58" s="303"/>
    </row>
    <row r="59" spans="1:1" ht="29.25" hidden="1" x14ac:dyDescent="0.2">
      <c r="A59" s="297" t="s">
        <v>90</v>
      </c>
    </row>
    <row r="60" spans="1:1" ht="14.25" x14ac:dyDescent="0.2">
      <c r="A60" s="303"/>
    </row>
    <row r="61" spans="1:1" ht="29.25" hidden="1" x14ac:dyDescent="0.2">
      <c r="A61" s="297" t="s">
        <v>91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workbookViewId="0"/>
  </sheetViews>
  <sheetFormatPr defaultRowHeight="12.75" x14ac:dyDescent="0.2"/>
  <cols>
    <col min="1" max="1" width="33.7109375" customWidth="1"/>
    <col min="2" max="2" width="6.7109375" style="88" bestFit="1" customWidth="1"/>
    <col min="3" max="3" width="1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2" bestFit="1" customWidth="1"/>
    <col min="8" max="8" width="5.5703125" style="96" bestFit="1" customWidth="1"/>
    <col min="9" max="9" width="11.28515625" bestFit="1" customWidth="1"/>
    <col min="10" max="10" width="5.5703125" style="96" bestFit="1" customWidth="1"/>
    <col min="11" max="11" width="11.28515625" bestFit="1" customWidth="1"/>
    <col min="12" max="12" width="5.5703125" style="88" bestFit="1" customWidth="1"/>
    <col min="13" max="13" width="11.28515625" bestFit="1" customWidth="1"/>
    <col min="14" max="14" width="6" style="52" bestFit="1" customWidth="1"/>
    <col min="15" max="15" width="12" style="26" bestFit="1" customWidth="1"/>
    <col min="16" max="16" width="6.7109375" style="54" bestFit="1" customWidth="1"/>
    <col min="17" max="17" width="11.5703125" customWidth="1"/>
    <col min="18" max="18" width="6.7109375" style="148" customWidth="1"/>
    <col min="19" max="19" width="12.140625" style="6" customWidth="1"/>
    <col min="20" max="20" width="6.7109375" style="147" bestFit="1" customWidth="1"/>
    <col min="21" max="21" width="11.5703125" style="71" customWidth="1"/>
    <col min="22" max="22" width="6.7109375" style="147" bestFit="1" customWidth="1"/>
    <col min="23" max="23" width="13.5703125" style="6" customWidth="1"/>
    <col min="24" max="24" width="7.140625" style="81" customWidth="1"/>
    <col min="25" max="25" width="11.5703125" style="6" customWidth="1"/>
    <col min="26" max="26" width="6.5703125" style="88" bestFit="1" customWidth="1"/>
    <col min="27" max="27" width="13.42578125" style="6" bestFit="1" customWidth="1"/>
    <col min="28" max="28" width="14.42578125" customWidth="1"/>
    <col min="29" max="29" width="14.28515625" customWidth="1"/>
  </cols>
  <sheetData>
    <row r="1" spans="1:49" ht="21.75" x14ac:dyDescent="0.3">
      <c r="A1" s="9" t="s">
        <v>13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68"/>
    </row>
    <row r="3" spans="1:49" ht="18" x14ac:dyDescent="0.25">
      <c r="A3" s="152" t="s">
        <v>125</v>
      </c>
      <c r="N3" s="88"/>
      <c r="P3" s="90"/>
      <c r="R3" s="96"/>
      <c r="T3" s="88"/>
      <c r="V3" s="88"/>
      <c r="X3" s="88"/>
    </row>
    <row r="4" spans="1:49" x14ac:dyDescent="0.2">
      <c r="AB4" s="6"/>
      <c r="AC4" s="8"/>
    </row>
    <row r="5" spans="1:49" x14ac:dyDescent="0.2">
      <c r="B5" s="22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88" t="s">
        <v>38</v>
      </c>
      <c r="I5" s="6" t="s">
        <v>24</v>
      </c>
      <c r="J5" s="225" t="s">
        <v>38</v>
      </c>
      <c r="K5" s="226" t="s">
        <v>25</v>
      </c>
      <c r="L5" s="88" t="s">
        <v>38</v>
      </c>
      <c r="M5" s="6" t="s">
        <v>20</v>
      </c>
      <c r="N5" s="395" t="s">
        <v>38</v>
      </c>
      <c r="O5" s="331" t="s">
        <v>4</v>
      </c>
      <c r="P5" s="52" t="s">
        <v>38</v>
      </c>
      <c r="Q5" t="s">
        <v>5</v>
      </c>
      <c r="R5" s="407" t="s">
        <v>38</v>
      </c>
      <c r="S5" s="226" t="s">
        <v>6</v>
      </c>
      <c r="T5" s="147" t="s">
        <v>38</v>
      </c>
      <c r="U5" s="72" t="s">
        <v>7</v>
      </c>
      <c r="V5" s="407" t="s">
        <v>38</v>
      </c>
      <c r="W5" s="226" t="s">
        <v>8</v>
      </c>
      <c r="X5" s="81" t="s">
        <v>38</v>
      </c>
      <c r="Y5" s="6" t="s">
        <v>9</v>
      </c>
      <c r="Z5" s="272" t="s">
        <v>38</v>
      </c>
      <c r="AA5" s="274" t="s">
        <v>47</v>
      </c>
      <c r="AB5" s="36"/>
      <c r="AC5" s="87"/>
    </row>
    <row r="6" spans="1:49" x14ac:dyDescent="0.2">
      <c r="B6" s="255"/>
      <c r="C6" s="369"/>
      <c r="D6" s="96"/>
      <c r="E6" s="38"/>
      <c r="F6" s="255"/>
      <c r="G6" s="369"/>
      <c r="I6" s="38"/>
      <c r="J6" s="255"/>
      <c r="K6" s="369"/>
      <c r="L6" s="96"/>
      <c r="M6" s="38"/>
      <c r="N6" s="396"/>
      <c r="O6" s="397"/>
      <c r="P6" s="109"/>
      <c r="Q6" s="38"/>
      <c r="R6" s="408"/>
      <c r="S6" s="369"/>
      <c r="T6" s="148"/>
      <c r="U6" s="110"/>
      <c r="V6" s="412"/>
      <c r="W6" s="369"/>
      <c r="X6" s="111"/>
      <c r="Y6" s="38"/>
      <c r="Z6" s="382"/>
      <c r="AA6" s="383"/>
      <c r="AB6" s="112"/>
      <c r="AC6" s="113"/>
    </row>
    <row r="7" spans="1:49" x14ac:dyDescent="0.2">
      <c r="A7" t="s">
        <v>112</v>
      </c>
      <c r="B7" s="255"/>
      <c r="C7" s="369"/>
      <c r="D7" s="96"/>
      <c r="E7" s="38"/>
      <c r="F7" s="255"/>
      <c r="G7" s="369"/>
      <c r="I7" s="38"/>
      <c r="J7" s="255"/>
      <c r="K7" s="369"/>
      <c r="L7" s="96"/>
      <c r="M7" s="38"/>
      <c r="N7" s="396"/>
      <c r="O7" s="397"/>
      <c r="P7" s="109"/>
      <c r="Q7" s="38"/>
      <c r="R7" s="408"/>
      <c r="S7" s="369"/>
      <c r="T7" s="148"/>
      <c r="U7" s="110"/>
      <c r="V7" s="412"/>
      <c r="W7" s="369"/>
      <c r="X7" s="111"/>
      <c r="Y7" s="38"/>
      <c r="Z7" s="382"/>
      <c r="AA7" s="383"/>
      <c r="AB7" s="38"/>
      <c r="AC7" s="113"/>
    </row>
    <row r="8" spans="1:49" s="29" customFormat="1" x14ac:dyDescent="0.2">
      <c r="A8" s="27" t="s">
        <v>123</v>
      </c>
      <c r="B8" s="370">
        <v>1522</v>
      </c>
      <c r="C8" s="371">
        <v>79306.55</v>
      </c>
      <c r="D8" s="97">
        <v>1675</v>
      </c>
      <c r="E8" s="40">
        <v>62778.61</v>
      </c>
      <c r="F8" s="328">
        <v>1265</v>
      </c>
      <c r="G8" s="371">
        <v>49173.25</v>
      </c>
      <c r="H8" s="97">
        <v>1582</v>
      </c>
      <c r="I8" s="40">
        <v>69890.759999999995</v>
      </c>
      <c r="J8" s="324">
        <v>1512</v>
      </c>
      <c r="K8" s="371">
        <v>73251</v>
      </c>
      <c r="L8" s="97">
        <v>1230</v>
      </c>
      <c r="M8" s="40">
        <v>56412.46</v>
      </c>
      <c r="N8" s="324">
        <v>1578</v>
      </c>
      <c r="O8" s="398">
        <v>87323.89</v>
      </c>
      <c r="P8" s="144">
        <v>1589</v>
      </c>
      <c r="Q8" s="29">
        <v>92695.87</v>
      </c>
      <c r="R8" s="409">
        <v>1511</v>
      </c>
      <c r="S8" s="371">
        <v>98130.48</v>
      </c>
      <c r="T8" s="149">
        <v>1717</v>
      </c>
      <c r="U8" s="115">
        <v>94005.6</v>
      </c>
      <c r="V8" s="413">
        <v>1648</v>
      </c>
      <c r="W8" s="398">
        <v>89644</v>
      </c>
      <c r="X8" s="116">
        <v>1478</v>
      </c>
      <c r="Y8" s="40">
        <v>79182.19</v>
      </c>
      <c r="Z8" s="384">
        <f t="shared" ref="Z8:AA10" si="0">SUM(B8,D8,F8,H8,J8,L8,N8,P8,R8,T8,V8,X8)</f>
        <v>18307</v>
      </c>
      <c r="AA8" s="385">
        <f t="shared" si="0"/>
        <v>931794.65999999992</v>
      </c>
      <c r="AB8" s="40"/>
      <c r="AC8" s="118"/>
    </row>
    <row r="9" spans="1:49" x14ac:dyDescent="0.2">
      <c r="A9" t="s">
        <v>114</v>
      </c>
      <c r="B9" s="255">
        <v>4385</v>
      </c>
      <c r="C9" s="372">
        <v>136528.37</v>
      </c>
      <c r="D9" s="98">
        <v>5419</v>
      </c>
      <c r="E9" s="41">
        <v>174969.3</v>
      </c>
      <c r="F9" s="328">
        <v>4804</v>
      </c>
      <c r="G9" s="372">
        <v>183560.2</v>
      </c>
      <c r="H9" s="98">
        <v>5329</v>
      </c>
      <c r="I9" s="41">
        <v>186061.18</v>
      </c>
      <c r="J9" s="328">
        <v>4471</v>
      </c>
      <c r="K9" s="372">
        <v>151246.39999999999</v>
      </c>
      <c r="L9" s="98">
        <v>3764</v>
      </c>
      <c r="M9" s="41">
        <v>128712.1</v>
      </c>
      <c r="N9" s="324">
        <v>4322</v>
      </c>
      <c r="O9" s="397">
        <v>177410.15</v>
      </c>
      <c r="P9" s="144">
        <v>5043</v>
      </c>
      <c r="Q9" s="108">
        <v>205730.14</v>
      </c>
      <c r="R9" s="410">
        <v>4946</v>
      </c>
      <c r="S9" s="372">
        <v>197539.96</v>
      </c>
      <c r="T9" s="146">
        <v>5196</v>
      </c>
      <c r="U9" s="110">
        <v>189608.03</v>
      </c>
      <c r="V9" s="412">
        <v>5105</v>
      </c>
      <c r="W9" s="397">
        <v>185745.03</v>
      </c>
      <c r="X9" s="120">
        <v>4780</v>
      </c>
      <c r="Y9" s="151">
        <v>201431</v>
      </c>
      <c r="Z9" s="386">
        <f t="shared" si="0"/>
        <v>57564</v>
      </c>
      <c r="AA9" s="385">
        <f t="shared" si="0"/>
        <v>2118541.86</v>
      </c>
      <c r="AB9" s="41"/>
      <c r="AC9" s="118"/>
    </row>
    <row r="10" spans="1:49" x14ac:dyDescent="0.2">
      <c r="A10" t="s">
        <v>32</v>
      </c>
      <c r="B10" s="365">
        <f>300+7+354+20+552+169</f>
        <v>1402</v>
      </c>
      <c r="C10" s="373">
        <f>6997.84+986.72+82798.87</f>
        <v>90783.43</v>
      </c>
      <c r="D10" s="99">
        <f>384+286+18+574+196</f>
        <v>1458</v>
      </c>
      <c r="E10" s="42">
        <f>6778.2+71935.68</f>
        <v>78713.87999999999</v>
      </c>
      <c r="F10" s="326">
        <f>320+7+291+8+467+201</f>
        <v>1294</v>
      </c>
      <c r="G10" s="373">
        <f>6803.16+2399.48+158164.86</f>
        <v>167367.5</v>
      </c>
      <c r="H10" s="99">
        <f>331+2+14+605+212</f>
        <v>1164</v>
      </c>
      <c r="I10" s="138">
        <f>4587.04+217.31+111341.84</f>
        <v>116146.19</v>
      </c>
      <c r="J10" s="326">
        <v>1143</v>
      </c>
      <c r="K10" s="373">
        <f>4640+1160.91+72696.54</f>
        <v>78497.45</v>
      </c>
      <c r="L10" s="99">
        <f>205+12+279+7+501+166</f>
        <v>1170</v>
      </c>
      <c r="M10" s="42">
        <f>3268+2329+67693.39</f>
        <v>73290.39</v>
      </c>
      <c r="N10" s="399">
        <f>292+7+252+13+598+1+220</f>
        <v>1383</v>
      </c>
      <c r="O10" s="400">
        <f>7625+3062.98+101802.78</f>
        <v>112490.76</v>
      </c>
      <c r="P10" s="138">
        <f>290+9+245+15+610+217</f>
        <v>1386</v>
      </c>
      <c r="Q10" s="42">
        <f>6880.5+3172.93+93766.8</f>
        <v>103820.23000000001</v>
      </c>
      <c r="R10" s="411">
        <f>343+19+102+14+583+192</f>
        <v>1253</v>
      </c>
      <c r="S10" s="373">
        <f>9323.96+8573.46+67527.05</f>
        <v>85424.47</v>
      </c>
      <c r="T10" s="150">
        <f>382+3+140+7+597+215</f>
        <v>1344</v>
      </c>
      <c r="U10" s="123">
        <f>2059.9+15532+92497.63</f>
        <v>110089.53</v>
      </c>
      <c r="V10" s="414">
        <f>347+2+163+12+697+217</f>
        <v>1438</v>
      </c>
      <c r="W10" s="373">
        <f>9131+693.02+118517.13</f>
        <v>128341.15000000001</v>
      </c>
      <c r="X10" s="124">
        <f>268+255+14+753+1+178</f>
        <v>1469</v>
      </c>
      <c r="Y10" s="122">
        <f>47248+79744.17</f>
        <v>126992.17</v>
      </c>
      <c r="Z10" s="387">
        <f t="shared" si="0"/>
        <v>15904</v>
      </c>
      <c r="AA10" s="388">
        <f t="shared" si="0"/>
        <v>1271957.1499999999</v>
      </c>
      <c r="AB10" s="140"/>
      <c r="AC10" s="131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x14ac:dyDescent="0.2">
      <c r="A11" t="s">
        <v>119</v>
      </c>
      <c r="B11" s="255"/>
      <c r="C11" s="371">
        <f>SUM(C8:C10)</f>
        <v>306618.34999999998</v>
      </c>
      <c r="D11" s="97"/>
      <c r="E11" s="40">
        <f>SUM(E8:E10)</f>
        <v>316461.78999999998</v>
      </c>
      <c r="F11" s="324"/>
      <c r="G11" s="371">
        <f>SUM(G8:G10)</f>
        <v>400100.95</v>
      </c>
      <c r="I11" s="40">
        <f>SUM(I8:I10)</f>
        <v>372098.13</v>
      </c>
      <c r="J11" s="324"/>
      <c r="K11" s="371">
        <f>SUM(K8:K10)</f>
        <v>302994.84999999998</v>
      </c>
      <c r="L11" s="97"/>
      <c r="M11" s="40">
        <f>SUM(M8:M10)</f>
        <v>258414.95</v>
      </c>
      <c r="N11" s="401"/>
      <c r="O11" s="371">
        <f>SUM(O8:O10)</f>
        <v>377224.8</v>
      </c>
      <c r="P11" s="114"/>
      <c r="Q11" s="40">
        <f>SUM(Q8:Q10)</f>
        <v>402246.24</v>
      </c>
      <c r="R11" s="409"/>
      <c r="S11" s="371">
        <f>SUM(S8:S10)</f>
        <v>381094.91000000003</v>
      </c>
      <c r="T11" s="149"/>
      <c r="U11" s="126">
        <f>SUM(U8:U10)</f>
        <v>393703.16000000003</v>
      </c>
      <c r="V11" s="409"/>
      <c r="W11" s="371">
        <f>SUM(W8:W10)</f>
        <v>403730.18000000005</v>
      </c>
      <c r="X11" s="116"/>
      <c r="Y11" s="40">
        <f>SUM(Y8:Y10)</f>
        <v>407605.36</v>
      </c>
      <c r="Z11" s="384"/>
      <c r="AA11" s="389">
        <f>SUM(C11,E11,G11,I11,K11,M11,O11,Q11,S11,U11,W11,Y11)</f>
        <v>4322293.67</v>
      </c>
      <c r="AB11" s="141"/>
      <c r="AC11" s="142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x14ac:dyDescent="0.2">
      <c r="A12" t="s">
        <v>120</v>
      </c>
      <c r="B12" s="365"/>
      <c r="C12" s="373">
        <v>33333.339999999997</v>
      </c>
      <c r="D12" s="99"/>
      <c r="E12" s="42">
        <v>33333.33</v>
      </c>
      <c r="F12" s="326"/>
      <c r="G12" s="373">
        <v>33333.33</v>
      </c>
      <c r="H12" s="99"/>
      <c r="I12" s="42">
        <v>33333.339999999997</v>
      </c>
      <c r="J12" s="326"/>
      <c r="K12" s="373">
        <v>33333.33</v>
      </c>
      <c r="L12" s="99"/>
      <c r="M12" s="42">
        <v>33333.33</v>
      </c>
      <c r="N12" s="402"/>
      <c r="O12" s="373">
        <v>33333.339999999997</v>
      </c>
      <c r="P12" s="121"/>
      <c r="Q12" s="42">
        <v>33333.33</v>
      </c>
      <c r="R12" s="411"/>
      <c r="S12" s="373">
        <v>33333.33</v>
      </c>
      <c r="T12" s="150"/>
      <c r="U12" s="127">
        <v>33333.339999999997</v>
      </c>
      <c r="V12" s="411"/>
      <c r="W12" s="373">
        <v>33333.33</v>
      </c>
      <c r="X12" s="124"/>
      <c r="Y12" s="42">
        <v>33333.33</v>
      </c>
      <c r="Z12" s="387"/>
      <c r="AA12" s="388">
        <f>SUM(C12,E12,G12,I12,K12,M12,O12,Q12,S12,U12,W12,Y12)</f>
        <v>400000</v>
      </c>
      <c r="AB12" s="143"/>
      <c r="AC12" s="131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x14ac:dyDescent="0.2">
      <c r="A13" t="s">
        <v>118</v>
      </c>
      <c r="B13" s="255"/>
      <c r="C13" s="372">
        <f>SUM(C11:C12)</f>
        <v>339951.68999999994</v>
      </c>
      <c r="D13" s="98"/>
      <c r="E13" s="41">
        <f>SUM(E11:E12)</f>
        <v>349795.12</v>
      </c>
      <c r="F13" s="328"/>
      <c r="G13" s="372">
        <f>SUM(G11:G12)</f>
        <v>433434.28</v>
      </c>
      <c r="H13" s="98"/>
      <c r="I13" s="41">
        <f>SUM(I11:I12)</f>
        <v>405431.47</v>
      </c>
      <c r="J13" s="328"/>
      <c r="K13" s="372">
        <f>SUM(K11:K12)</f>
        <v>336328.18</v>
      </c>
      <c r="L13" s="98"/>
      <c r="M13" s="41">
        <f>SUM(M11:M12)</f>
        <v>291748.28000000003</v>
      </c>
      <c r="N13" s="403"/>
      <c r="O13" s="372">
        <f>SUM(O11:O12)</f>
        <v>410558.14</v>
      </c>
      <c r="P13" s="119"/>
      <c r="Q13" s="41">
        <f>SUM(Q11:Q12)</f>
        <v>435579.57</v>
      </c>
      <c r="R13" s="410"/>
      <c r="S13" s="372">
        <f>SUM(S11:S12)</f>
        <v>414428.24000000005</v>
      </c>
      <c r="T13" s="146"/>
      <c r="U13" s="128">
        <f>SUM(U11:U12)</f>
        <v>427036.5</v>
      </c>
      <c r="V13" s="410"/>
      <c r="W13" s="372">
        <f>SUM(W11:W12)</f>
        <v>437063.51000000007</v>
      </c>
      <c r="X13" s="120"/>
      <c r="Y13" s="41">
        <f>SUM(Y11:Y12)</f>
        <v>440938.69</v>
      </c>
      <c r="Z13" s="386"/>
      <c r="AA13" s="385">
        <f>SUM(C13,E13,G13,I13,K13,M13,O13,Q13,S13,U13,W13,Y13)</f>
        <v>4722293.67</v>
      </c>
      <c r="AB13" s="143"/>
      <c r="AC13" s="131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x14ac:dyDescent="0.2">
      <c r="B14" s="255"/>
      <c r="C14" s="372"/>
      <c r="D14" s="98"/>
      <c r="E14" s="41"/>
      <c r="F14" s="328"/>
      <c r="G14" s="372"/>
      <c r="H14" s="98"/>
      <c r="I14" s="38"/>
      <c r="J14" s="255"/>
      <c r="K14" s="369"/>
      <c r="L14" s="96"/>
      <c r="M14" s="38"/>
      <c r="N14" s="396"/>
      <c r="O14" s="372"/>
      <c r="P14" s="119"/>
      <c r="Q14" s="38"/>
      <c r="R14" s="408"/>
      <c r="S14" s="369"/>
      <c r="T14" s="148"/>
      <c r="U14" s="128"/>
      <c r="V14" s="410"/>
      <c r="W14" s="372"/>
      <c r="X14" s="120"/>
      <c r="Y14" s="38"/>
      <c r="Z14" s="382"/>
      <c r="AA14" s="383"/>
      <c r="AB14" s="130"/>
      <c r="AC14" s="131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1:49" x14ac:dyDescent="0.2">
      <c r="A15" t="s">
        <v>116</v>
      </c>
      <c r="B15" s="255"/>
      <c r="C15" s="369"/>
      <c r="D15" s="98"/>
      <c r="E15" s="41"/>
      <c r="F15" s="328"/>
      <c r="G15" s="372"/>
      <c r="H15" s="98"/>
      <c r="I15" s="38"/>
      <c r="J15" s="255"/>
      <c r="K15" s="369"/>
      <c r="L15" s="96"/>
      <c r="M15" s="38"/>
      <c r="N15" s="396"/>
      <c r="O15" s="372"/>
      <c r="P15" s="119"/>
      <c r="Q15" s="38"/>
      <c r="R15" s="408"/>
      <c r="S15" s="369"/>
      <c r="T15" s="148"/>
      <c r="U15" s="128"/>
      <c r="V15" s="410"/>
      <c r="W15" s="372"/>
      <c r="X15" s="120"/>
      <c r="Y15" s="38"/>
      <c r="Z15" s="382"/>
      <c r="AA15" s="383"/>
      <c r="AB15" s="130"/>
      <c r="AC15" s="131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x14ac:dyDescent="0.2">
      <c r="A16" s="4" t="s">
        <v>56</v>
      </c>
      <c r="B16" s="255"/>
      <c r="C16" s="372">
        <v>117886.72</v>
      </c>
      <c r="D16" s="98"/>
      <c r="E16" s="41">
        <v>131829.6</v>
      </c>
      <c r="F16" s="328"/>
      <c r="G16" s="372">
        <v>118101.48</v>
      </c>
      <c r="H16" s="98"/>
      <c r="I16" s="41">
        <v>128211.72</v>
      </c>
      <c r="J16" s="328"/>
      <c r="K16" s="372">
        <v>113261.12</v>
      </c>
      <c r="L16" s="98"/>
      <c r="M16" s="117">
        <v>100441.60000000001</v>
      </c>
      <c r="N16" s="396"/>
      <c r="O16" s="372">
        <v>117622.39999999999</v>
      </c>
      <c r="P16" s="119"/>
      <c r="Q16" s="40">
        <v>123156.6</v>
      </c>
      <c r="R16" s="410"/>
      <c r="S16" s="372">
        <v>128277.8</v>
      </c>
      <c r="T16" s="146"/>
      <c r="U16" s="129">
        <v>139563.57</v>
      </c>
      <c r="V16" s="410"/>
      <c r="W16" s="372">
        <v>142179.22</v>
      </c>
      <c r="X16" s="120"/>
      <c r="Y16" s="41">
        <v>137832.57999999999</v>
      </c>
      <c r="Z16" s="382"/>
      <c r="AA16" s="390">
        <f>SUM(C16:Y16)</f>
        <v>1498364.4100000001</v>
      </c>
      <c r="AB16" s="130"/>
      <c r="AC16" s="131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</row>
    <row r="17" spans="1:49" x14ac:dyDescent="0.2">
      <c r="A17" s="4" t="s">
        <v>34</v>
      </c>
      <c r="B17" s="365"/>
      <c r="C17" s="373">
        <v>25396.880000000001</v>
      </c>
      <c r="D17" s="99"/>
      <c r="E17" s="42">
        <v>28408.799999999999</v>
      </c>
      <c r="F17" s="326"/>
      <c r="G17" s="373">
        <v>25450.44</v>
      </c>
      <c r="H17" s="99"/>
      <c r="I17" s="42">
        <v>27629.16</v>
      </c>
      <c r="J17" s="326"/>
      <c r="K17" s="373">
        <v>18356.88</v>
      </c>
      <c r="L17" s="99"/>
      <c r="M17" s="125">
        <v>15566.8</v>
      </c>
      <c r="N17" s="404"/>
      <c r="O17" s="373">
        <v>18227.2</v>
      </c>
      <c r="P17" s="121"/>
      <c r="Q17" s="42">
        <v>19084.8</v>
      </c>
      <c r="R17" s="411"/>
      <c r="S17" s="373">
        <v>19878.400000000001</v>
      </c>
      <c r="T17" s="150"/>
      <c r="U17" s="132">
        <v>21414.52</v>
      </c>
      <c r="V17" s="411"/>
      <c r="W17" s="373">
        <v>16279.26</v>
      </c>
      <c r="X17" s="124"/>
      <c r="Y17" s="42">
        <v>15395.12</v>
      </c>
      <c r="Z17" s="387"/>
      <c r="AA17" s="388">
        <f>SUM(C17:Y17)</f>
        <v>251088.25999999998</v>
      </c>
      <c r="AB17" s="130"/>
      <c r="AC17" s="131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x14ac:dyDescent="0.2">
      <c r="A18" t="s">
        <v>62</v>
      </c>
      <c r="B18" s="255">
        <v>7133</v>
      </c>
      <c r="C18" s="372">
        <f>SUM(C16:C17)</f>
        <v>143283.6</v>
      </c>
      <c r="D18" s="98">
        <v>7980</v>
      </c>
      <c r="E18" s="41">
        <f>SUM(E16:E17)</f>
        <v>160238.39999999999</v>
      </c>
      <c r="F18" s="328">
        <v>7149</v>
      </c>
      <c r="G18" s="372">
        <f>SUM(G16:G17)</f>
        <v>143551.91999999998</v>
      </c>
      <c r="H18" s="98">
        <v>7761</v>
      </c>
      <c r="I18" s="41">
        <f>SUM(I16:I17)</f>
        <v>155840.88</v>
      </c>
      <c r="J18" s="328">
        <v>6865</v>
      </c>
      <c r="K18" s="372">
        <f>SUM(K16:K17)</f>
        <v>131618</v>
      </c>
      <c r="L18" s="98">
        <v>6087</v>
      </c>
      <c r="M18" s="41">
        <f>SUM(M16:M17)</f>
        <v>116008.40000000001</v>
      </c>
      <c r="N18" s="405">
        <v>7128</v>
      </c>
      <c r="O18" s="372">
        <f>SUM(O16:O17)</f>
        <v>135849.60000000001</v>
      </c>
      <c r="P18" s="144">
        <v>7455</v>
      </c>
      <c r="Q18" s="41">
        <f>SUM(Q16:Q17)</f>
        <v>142241.4</v>
      </c>
      <c r="R18" s="410">
        <v>7765</v>
      </c>
      <c r="S18" s="372">
        <f>SUM(S16:S17)</f>
        <v>148156.20000000001</v>
      </c>
      <c r="T18" s="146">
        <v>8434</v>
      </c>
      <c r="U18" s="128">
        <f>SUM(U16+U17)</f>
        <v>160978.09</v>
      </c>
      <c r="V18" s="410">
        <v>7986</v>
      </c>
      <c r="W18" s="415">
        <f>SUM(W16+W17)</f>
        <v>158458.48000000001</v>
      </c>
      <c r="X18" s="120">
        <v>7700</v>
      </c>
      <c r="Y18" s="128">
        <f>SUM(Y16+Y17)</f>
        <v>153227.69999999998</v>
      </c>
      <c r="Z18" s="391">
        <f>SUM(B18,D18,F18,H18,J18,L18,N18,P18,R18,T18,V18,X18)</f>
        <v>89443</v>
      </c>
      <c r="AA18" s="385">
        <f>SUM(C18,E18,G18,I18,K18,M18,O18,Q18,S18,U18,W18,Y18)</f>
        <v>1749452.67</v>
      </c>
      <c r="AB18" s="130"/>
      <c r="AC18" s="131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</row>
    <row r="19" spans="1:49" x14ac:dyDescent="0.2">
      <c r="B19" s="255"/>
      <c r="C19" s="372"/>
      <c r="D19" s="98"/>
      <c r="E19" s="41"/>
      <c r="F19" s="328"/>
      <c r="G19" s="372"/>
      <c r="H19" s="98"/>
      <c r="I19" s="41"/>
      <c r="J19" s="328"/>
      <c r="K19" s="372"/>
      <c r="L19" s="98"/>
      <c r="M19" s="41"/>
      <c r="N19" s="403"/>
      <c r="O19" s="372"/>
      <c r="P19" s="119"/>
      <c r="Q19" s="38"/>
      <c r="R19" s="408"/>
      <c r="S19" s="369"/>
      <c r="T19" s="148"/>
      <c r="U19" s="128"/>
      <c r="V19" s="410"/>
      <c r="W19" s="372"/>
      <c r="X19" s="120"/>
      <c r="Y19" s="38"/>
      <c r="Z19" s="382"/>
      <c r="AA19" s="383"/>
      <c r="AB19" s="130"/>
      <c r="AC19" s="131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</row>
    <row r="20" spans="1:49" s="8" customFormat="1" ht="13.5" thickBot="1" x14ac:dyDescent="0.25">
      <c r="A20" s="361" t="s">
        <v>117</v>
      </c>
      <c r="B20" s="376"/>
      <c r="C20" s="377">
        <f>C13-C18</f>
        <v>196668.08999999994</v>
      </c>
      <c r="D20" s="161"/>
      <c r="E20" s="377">
        <f>E13-E18</f>
        <v>189556.72</v>
      </c>
      <c r="F20" s="161"/>
      <c r="G20" s="377">
        <f>G13-G18</f>
        <v>289882.36000000004</v>
      </c>
      <c r="H20" s="161"/>
      <c r="I20" s="377">
        <f>I13-I18</f>
        <v>249590.58999999997</v>
      </c>
      <c r="J20" s="161"/>
      <c r="K20" s="377">
        <f>K13-K18</f>
        <v>204710.18</v>
      </c>
      <c r="L20" s="161"/>
      <c r="M20" s="377">
        <f>M13-M18</f>
        <v>175739.88</v>
      </c>
      <c r="N20" s="378"/>
      <c r="O20" s="377">
        <f>O13-O18</f>
        <v>274708.54000000004</v>
      </c>
      <c r="P20" s="378"/>
      <c r="Q20" s="377">
        <f>Q13-Q18</f>
        <v>293338.17000000004</v>
      </c>
      <c r="R20" s="379"/>
      <c r="S20" s="377">
        <f>S13-S18</f>
        <v>266272.04000000004</v>
      </c>
      <c r="T20" s="379"/>
      <c r="U20" s="380">
        <f>U13-U18</f>
        <v>266058.41000000003</v>
      </c>
      <c r="V20" s="379"/>
      <c r="W20" s="377">
        <f>W13-W18</f>
        <v>278605.03000000003</v>
      </c>
      <c r="X20" s="381"/>
      <c r="Y20" s="377">
        <f>Y13-Y18</f>
        <v>287710.99</v>
      </c>
      <c r="Z20" s="161"/>
      <c r="AA20" s="377">
        <f>SUM(AA13-AA18)</f>
        <v>2972841</v>
      </c>
      <c r="AB20" s="142"/>
      <c r="AC20" s="142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</row>
    <row r="21" spans="1:49" x14ac:dyDescent="0.2">
      <c r="B21" s="255"/>
      <c r="C21" s="369"/>
      <c r="D21" s="96"/>
      <c r="E21" s="38"/>
      <c r="F21" s="255"/>
      <c r="G21" s="369"/>
      <c r="I21" s="38"/>
      <c r="J21" s="255"/>
      <c r="K21" s="369"/>
      <c r="L21" s="96"/>
      <c r="M21" s="38"/>
      <c r="N21" s="396"/>
      <c r="O21" s="372"/>
      <c r="P21" s="119"/>
      <c r="Q21" s="38"/>
      <c r="R21" s="408"/>
      <c r="S21" s="369"/>
      <c r="T21" s="148"/>
      <c r="U21" s="134"/>
      <c r="V21" s="408"/>
      <c r="W21" s="369"/>
      <c r="X21" s="111"/>
      <c r="Y21" s="38"/>
      <c r="Z21" s="382"/>
      <c r="AA21" s="383"/>
      <c r="AB21" s="137"/>
      <c r="AC21" s="13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</row>
    <row r="22" spans="1:49" x14ac:dyDescent="0.2">
      <c r="B22" s="255"/>
      <c r="C22" s="369"/>
      <c r="D22" s="96"/>
      <c r="E22" s="38"/>
      <c r="F22" s="255"/>
      <c r="G22" s="369"/>
      <c r="I22" s="38"/>
      <c r="J22" s="255"/>
      <c r="K22" s="369"/>
      <c r="L22" s="96"/>
      <c r="M22" s="38"/>
      <c r="N22" s="396"/>
      <c r="O22" s="372"/>
      <c r="P22" s="119"/>
      <c r="Q22" s="38"/>
      <c r="R22" s="408"/>
      <c r="S22" s="369"/>
      <c r="T22" s="148"/>
      <c r="U22" s="134"/>
      <c r="V22" s="408"/>
      <c r="W22" s="369"/>
      <c r="X22" s="111"/>
      <c r="Y22" s="38"/>
      <c r="Z22" s="382"/>
      <c r="AA22" s="383"/>
      <c r="AB22" s="38"/>
      <c r="AC22" s="38"/>
    </row>
    <row r="23" spans="1:49" x14ac:dyDescent="0.2">
      <c r="A23" s="45" t="s">
        <v>39</v>
      </c>
      <c r="B23" s="255"/>
      <c r="C23" s="369"/>
      <c r="D23" s="96"/>
      <c r="E23" s="38"/>
      <c r="F23" s="255"/>
      <c r="G23" s="369"/>
      <c r="I23" s="38"/>
      <c r="J23" s="255"/>
      <c r="K23" s="369"/>
      <c r="L23" s="96"/>
      <c r="M23" s="38"/>
      <c r="N23" s="396"/>
      <c r="O23" s="372"/>
      <c r="P23" s="119"/>
      <c r="Q23" s="38"/>
      <c r="R23" s="408"/>
      <c r="S23" s="369"/>
      <c r="T23" s="148"/>
      <c r="U23" s="134"/>
      <c r="V23" s="408"/>
      <c r="W23" s="369"/>
      <c r="X23" s="111"/>
      <c r="Y23" s="38"/>
      <c r="Z23" s="382"/>
      <c r="AA23" s="383"/>
      <c r="AB23" s="38"/>
      <c r="AC23" s="38"/>
    </row>
    <row r="24" spans="1:49" x14ac:dyDescent="0.2">
      <c r="A24" s="46" t="s">
        <v>50</v>
      </c>
      <c r="B24" s="365">
        <v>54</v>
      </c>
      <c r="C24" s="374"/>
      <c r="D24" s="100">
        <v>112</v>
      </c>
      <c r="E24" s="44"/>
      <c r="F24" s="365">
        <v>56</v>
      </c>
      <c r="G24" s="374"/>
      <c r="H24" s="100">
        <v>56</v>
      </c>
      <c r="I24" s="44"/>
      <c r="J24" s="365">
        <v>100</v>
      </c>
      <c r="K24" s="374"/>
      <c r="L24" s="100">
        <v>80</v>
      </c>
      <c r="M24" s="44"/>
      <c r="N24" s="404">
        <v>39</v>
      </c>
      <c r="O24" s="373"/>
      <c r="P24" s="121">
        <v>35</v>
      </c>
      <c r="Q24" s="44"/>
      <c r="R24" s="416">
        <v>64</v>
      </c>
      <c r="S24" s="374"/>
      <c r="T24" s="145">
        <v>49</v>
      </c>
      <c r="U24" s="135"/>
      <c r="V24" s="416">
        <v>69</v>
      </c>
      <c r="W24" s="374"/>
      <c r="X24" s="136">
        <v>86</v>
      </c>
      <c r="Y24" s="44"/>
      <c r="Z24" s="392">
        <f>SUM(B24,D24,F24,H24,J24,L24,N24,P24,R24,T24,V24,X24)</f>
        <v>800</v>
      </c>
      <c r="AA24" s="393"/>
      <c r="AB24" s="137"/>
      <c r="AC24" s="137"/>
    </row>
    <row r="25" spans="1:49" x14ac:dyDescent="0.2">
      <c r="A25" s="46" t="s">
        <v>51</v>
      </c>
      <c r="B25" s="359">
        <f>B24/B8</f>
        <v>3.5479632063074903E-2</v>
      </c>
      <c r="C25" s="369"/>
      <c r="D25" s="139">
        <f>D24/D8</f>
        <v>6.6865671641791039E-2</v>
      </c>
      <c r="E25" s="38"/>
      <c r="F25" s="359">
        <f>F24/F8</f>
        <v>4.4268774703557313E-2</v>
      </c>
      <c r="G25" s="369"/>
      <c r="H25" s="139">
        <f>H24/H8</f>
        <v>3.5398230088495575E-2</v>
      </c>
      <c r="I25" s="38"/>
      <c r="J25" s="359">
        <f>J24/J8</f>
        <v>6.6137566137566134E-2</v>
      </c>
      <c r="K25" s="369"/>
      <c r="L25" s="139">
        <f>L24/L8</f>
        <v>6.5040650406504072E-2</v>
      </c>
      <c r="M25" s="38"/>
      <c r="N25" s="359">
        <f>N24/N8</f>
        <v>2.4714828897338403E-2</v>
      </c>
      <c r="O25" s="372"/>
      <c r="P25" s="139">
        <f>P24/P8</f>
        <v>2.2026431718061675E-2</v>
      </c>
      <c r="Q25" s="38"/>
      <c r="R25" s="359">
        <f>R24/R8</f>
        <v>4.2356055592322965E-2</v>
      </c>
      <c r="S25" s="369"/>
      <c r="T25" s="139">
        <f>T24/T8</f>
        <v>2.8538147932440302E-2</v>
      </c>
      <c r="U25" s="38"/>
      <c r="V25" s="359">
        <f>V24/V8</f>
        <v>4.1868932038834954E-2</v>
      </c>
      <c r="W25" s="369"/>
      <c r="X25" s="139">
        <f>X24/X8</f>
        <v>5.8186738836265225E-2</v>
      </c>
      <c r="Y25" s="38"/>
      <c r="Z25" s="363">
        <f>Z24/Z8</f>
        <v>4.3699131479761837E-2</v>
      </c>
      <c r="AA25" s="383"/>
      <c r="AB25" s="38"/>
      <c r="AC25" s="38"/>
    </row>
    <row r="26" spans="1:49" x14ac:dyDescent="0.2">
      <c r="B26" s="255"/>
      <c r="C26" s="369"/>
      <c r="D26" s="96"/>
      <c r="E26" s="38"/>
      <c r="F26" s="255"/>
      <c r="G26" s="369"/>
      <c r="I26" s="38"/>
      <c r="J26" s="255"/>
      <c r="K26" s="369"/>
      <c r="L26" s="96"/>
      <c r="M26" s="38"/>
      <c r="N26" s="396"/>
      <c r="O26" s="372"/>
      <c r="P26" s="107"/>
      <c r="Q26" s="38"/>
      <c r="R26" s="408"/>
      <c r="S26" s="369"/>
      <c r="T26" s="148"/>
      <c r="U26" s="134"/>
      <c r="V26" s="408"/>
      <c r="W26" s="369"/>
      <c r="X26" s="111"/>
      <c r="Y26" s="38"/>
      <c r="Z26" s="382"/>
      <c r="AA26" s="383"/>
      <c r="AB26" s="38"/>
      <c r="AC26" s="38"/>
    </row>
    <row r="27" spans="1:49" x14ac:dyDescent="0.2">
      <c r="A27" t="s">
        <v>37</v>
      </c>
      <c r="B27" s="365">
        <f>SUM(B8,B9,B10,B24)</f>
        <v>7363</v>
      </c>
      <c r="C27" s="375">
        <v>1614674.96</v>
      </c>
      <c r="D27" s="100">
        <f>SUM(D8,D9,D10,D24)</f>
        <v>8664</v>
      </c>
      <c r="E27" s="135">
        <v>2166732.7599999998</v>
      </c>
      <c r="F27" s="365">
        <f>SUM(F8,F9,F10,F24)</f>
        <v>7419</v>
      </c>
      <c r="G27" s="375">
        <v>1798604.65</v>
      </c>
      <c r="H27" s="100">
        <f>SUM(H8,H9,H10,H24)</f>
        <v>8131</v>
      </c>
      <c r="I27" s="135">
        <v>2026495.7</v>
      </c>
      <c r="J27" s="365">
        <f>SUM(J8,J9,J10,J24)</f>
        <v>7226</v>
      </c>
      <c r="K27" s="375">
        <v>1829493.52</v>
      </c>
      <c r="L27" s="100">
        <f>SUM(L8,L9,L10,L24)</f>
        <v>6244</v>
      </c>
      <c r="M27" s="135">
        <v>1377808.52</v>
      </c>
      <c r="N27" s="399">
        <f>SUM(N8,N9,N10,N24)</f>
        <v>7322</v>
      </c>
      <c r="O27" s="406">
        <v>1775528.63</v>
      </c>
      <c r="P27" s="145">
        <f>SUM(P8,P9,P10,P24)</f>
        <v>8053</v>
      </c>
      <c r="Q27" s="135">
        <v>1845160.18</v>
      </c>
      <c r="R27" s="416">
        <f>SUM(R8,R9,R10,R24)</f>
        <v>7774</v>
      </c>
      <c r="S27" s="375">
        <v>1772262.86</v>
      </c>
      <c r="T27" s="145">
        <f>SUM(T8,T9,T10,T24)</f>
        <v>8306</v>
      </c>
      <c r="U27" s="135">
        <v>1932793.46</v>
      </c>
      <c r="V27" s="416">
        <f>SUM(V8,V9,V10,V24)</f>
        <v>8260</v>
      </c>
      <c r="W27" s="417">
        <v>2076579.71</v>
      </c>
      <c r="X27" s="136">
        <f>SUM(X8,X9,X10,X24)</f>
        <v>7813</v>
      </c>
      <c r="Y27" s="135">
        <v>2006923.38</v>
      </c>
      <c r="Z27" s="392">
        <f>SUM(B27,D27,F27,H27,J27,L27,N27,P27,R27,T27,V27,X27)</f>
        <v>92575</v>
      </c>
      <c r="AA27" s="394">
        <f>SUM(C27,E27,G27,I27,K27,M27,O27,Q27,S27,U27,W27,Y27)</f>
        <v>22223058.329999998</v>
      </c>
      <c r="AB27" s="137"/>
      <c r="AC27" s="137"/>
    </row>
    <row r="28" spans="1:49" x14ac:dyDescent="0.2">
      <c r="A28" s="46" t="s">
        <v>48</v>
      </c>
      <c r="B28" s="225"/>
      <c r="C28" s="323">
        <f>C20/C27</f>
        <v>0.12180042105811806</v>
      </c>
      <c r="E28" s="50">
        <f>E20/E27</f>
        <v>8.7485048225328918E-2</v>
      </c>
      <c r="F28" s="225"/>
      <c r="G28" s="323">
        <f>G20/G27</f>
        <v>0.16117069418229296</v>
      </c>
      <c r="I28" s="50">
        <f>I20/I27</f>
        <v>0.12316364155127493</v>
      </c>
      <c r="J28" s="255"/>
      <c r="K28" s="323">
        <f>K20/K27</f>
        <v>0.1118944548106407</v>
      </c>
      <c r="M28" s="50">
        <f>M20/M27</f>
        <v>0.12755029269234017</v>
      </c>
      <c r="N28" s="395"/>
      <c r="O28" s="323">
        <f>O20/O27</f>
        <v>0.15471929619067876</v>
      </c>
      <c r="Q28" s="50">
        <f>Q20/Q27</f>
        <v>0.15897707590893276</v>
      </c>
      <c r="R28" s="408"/>
      <c r="S28" s="323">
        <f>S20/S27</f>
        <v>0.15024410092304255</v>
      </c>
      <c r="U28" s="70">
        <f>U20/U27</f>
        <v>0.13765485837270997</v>
      </c>
      <c r="V28" s="407"/>
      <c r="W28" s="340">
        <f>W20/W27</f>
        <v>0.13416534345315356</v>
      </c>
      <c r="Y28" s="50">
        <f>Y20/Y27</f>
        <v>0.14335922978783575</v>
      </c>
      <c r="Z28" s="272"/>
      <c r="AA28" s="356">
        <f>AA20/AA27</f>
        <v>0.13377281181802128</v>
      </c>
    </row>
    <row r="30" spans="1:49" x14ac:dyDescent="0.2">
      <c r="B30" s="103"/>
      <c r="C30" s="55"/>
      <c r="D30" s="103"/>
      <c r="E30" s="55"/>
      <c r="F30" s="103"/>
      <c r="G30" s="55"/>
      <c r="H30" s="102"/>
      <c r="I30" s="55"/>
      <c r="J30" s="101"/>
      <c r="K30" s="7"/>
      <c r="L30" s="94"/>
      <c r="M30" s="7"/>
      <c r="N30" s="69"/>
    </row>
    <row r="31" spans="1:49" x14ac:dyDescent="0.2">
      <c r="A31" s="55" t="s">
        <v>49</v>
      </c>
    </row>
    <row r="34" spans="5:27" x14ac:dyDescent="0.2">
      <c r="E34" s="51"/>
    </row>
    <row r="35" spans="5:27" x14ac:dyDescent="0.2">
      <c r="AA35" s="38"/>
    </row>
  </sheetData>
  <phoneticPr fontId="0" type="noConversion"/>
  <pageMargins left="0.17" right="0.16" top="1" bottom="1" header="0.5" footer="0.5"/>
  <pageSetup scale="51" orientation="landscape" r:id="rId1"/>
  <headerFooter alignWithMargins="0">
    <oddHeader>&amp;CFY 08 Medicaid Savings</oddHeader>
    <oddFooter xml:space="preserve">&amp;L&amp;F&amp;RPrepared by Sunny Israelson
&amp;D
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workbookViewId="0"/>
  </sheetViews>
  <sheetFormatPr defaultRowHeight="12.75" x14ac:dyDescent="0.2"/>
  <cols>
    <col min="1" max="1" width="32.7109375" customWidth="1"/>
    <col min="2" max="2" width="5.5703125" style="96" bestFit="1" customWidth="1"/>
    <col min="3" max="3" width="11.5703125" bestFit="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1.28515625" bestFit="1" customWidth="1"/>
    <col min="8" max="8" width="6.7109375" style="38" bestFit="1" customWidth="1"/>
    <col min="9" max="9" width="11.5703125" bestFit="1" customWidth="1"/>
    <col min="10" max="10" width="6.7109375" style="38" bestFit="1" customWidth="1"/>
    <col min="11" max="11" width="12" bestFit="1" customWidth="1"/>
    <col min="12" max="12" width="5.5703125" style="88" bestFit="1" customWidth="1"/>
    <col min="13" max="13" width="11.5703125" bestFit="1" customWidth="1"/>
    <col min="14" max="14" width="5.5703125" style="88" bestFit="1" customWidth="1"/>
    <col min="15" max="15" width="11.42578125" style="26" bestFit="1" customWidth="1"/>
    <col min="16" max="16" width="5.5703125" style="90" bestFit="1" customWidth="1"/>
    <col min="17" max="17" width="11.5703125" bestFit="1" customWidth="1"/>
    <col min="18" max="18" width="6.7109375" style="96" bestFit="1" customWidth="1"/>
    <col min="19" max="19" width="12" style="6" customWidth="1"/>
    <col min="20" max="20" width="5.5703125" style="88" bestFit="1" customWidth="1"/>
    <col min="21" max="21" width="11.5703125" style="71" customWidth="1"/>
    <col min="22" max="22" width="5.5703125" style="88" bestFit="1" customWidth="1"/>
    <col min="23" max="23" width="13.5703125" style="6" customWidth="1"/>
    <col min="24" max="24" width="6.140625" style="81" bestFit="1" customWidth="1"/>
    <col min="25" max="25" width="11.5703125" style="6" customWidth="1"/>
    <col min="26" max="26" width="6.5703125" style="88" bestFit="1" customWidth="1"/>
    <col min="27" max="27" width="13.28515625" style="6" customWidth="1"/>
    <col min="28" max="28" width="14.42578125" customWidth="1"/>
    <col min="29" max="29" width="14.28515625" customWidth="1"/>
  </cols>
  <sheetData>
    <row r="1" spans="1:29" ht="21.75" x14ac:dyDescent="0.3">
      <c r="A1" s="9" t="s">
        <v>13</v>
      </c>
      <c r="B1" s="95"/>
      <c r="C1" s="9"/>
      <c r="D1" s="93"/>
      <c r="E1" s="9"/>
      <c r="F1" s="93"/>
      <c r="G1" s="9"/>
      <c r="H1" s="39"/>
      <c r="I1" s="9"/>
      <c r="J1" s="39"/>
      <c r="K1" s="9"/>
      <c r="L1" s="93"/>
      <c r="M1" s="9"/>
      <c r="N1" s="93"/>
    </row>
    <row r="3" spans="1:29" ht="18" x14ac:dyDescent="0.25">
      <c r="A3" s="152" t="s">
        <v>126</v>
      </c>
      <c r="B3" s="88"/>
      <c r="H3" s="96"/>
      <c r="J3" s="96"/>
      <c r="X3" s="88"/>
    </row>
    <row r="4" spans="1:29" x14ac:dyDescent="0.2">
      <c r="AB4" s="6" t="s">
        <v>28</v>
      </c>
      <c r="AC4" s="8"/>
    </row>
    <row r="5" spans="1:29" x14ac:dyDescent="0.2">
      <c r="B5" s="25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6" t="s">
        <v>38</v>
      </c>
      <c r="I5" s="6" t="s">
        <v>24</v>
      </c>
      <c r="J5" s="226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1" t="s">
        <v>38</v>
      </c>
      <c r="Y5" s="6" t="s">
        <v>9</v>
      </c>
      <c r="Z5" s="88" t="s">
        <v>38</v>
      </c>
      <c r="AA5" s="274" t="s">
        <v>47</v>
      </c>
      <c r="AB5" s="36" t="s">
        <v>35</v>
      </c>
      <c r="AC5" s="87" t="s">
        <v>46</v>
      </c>
    </row>
    <row r="6" spans="1:29" x14ac:dyDescent="0.2">
      <c r="B6" s="255"/>
      <c r="C6" s="226"/>
      <c r="E6" s="6"/>
      <c r="F6" s="225"/>
      <c r="G6" s="226"/>
      <c r="I6" s="6"/>
      <c r="J6" s="369"/>
      <c r="K6" s="226"/>
      <c r="M6" s="6"/>
      <c r="N6" s="225"/>
      <c r="O6" s="331"/>
      <c r="P6" s="105"/>
      <c r="R6" s="225"/>
      <c r="S6" s="226"/>
      <c r="U6" s="72"/>
      <c r="V6" s="336"/>
      <c r="W6" s="226"/>
      <c r="AA6" s="273"/>
      <c r="AB6" s="37" t="s">
        <v>36</v>
      </c>
      <c r="AC6" s="8"/>
    </row>
    <row r="7" spans="1:29" x14ac:dyDescent="0.2">
      <c r="A7" t="s">
        <v>112</v>
      </c>
      <c r="B7" s="255"/>
      <c r="C7" s="226"/>
      <c r="E7" s="6"/>
      <c r="F7" s="225"/>
      <c r="G7" s="226"/>
      <c r="I7" s="6"/>
      <c r="J7" s="369"/>
      <c r="K7" s="226"/>
      <c r="M7" s="6"/>
      <c r="N7" s="225"/>
      <c r="O7" s="331"/>
      <c r="P7" s="105"/>
      <c r="R7" s="255"/>
      <c r="S7" s="226"/>
      <c r="U7" s="72"/>
      <c r="V7" s="336"/>
      <c r="W7" s="226"/>
      <c r="AA7" s="273"/>
      <c r="AC7" s="8"/>
    </row>
    <row r="8" spans="1:29" s="29" customFormat="1" x14ac:dyDescent="0.2">
      <c r="A8" s="27" t="s">
        <v>33</v>
      </c>
      <c r="B8" s="370">
        <v>1151</v>
      </c>
      <c r="C8" s="314">
        <v>85660.72</v>
      </c>
      <c r="D8" s="89">
        <v>1230</v>
      </c>
      <c r="E8" s="28">
        <v>82104.2</v>
      </c>
      <c r="F8" s="247">
        <v>1260</v>
      </c>
      <c r="G8" s="314">
        <v>75587.69</v>
      </c>
      <c r="H8" s="65">
        <v>1394</v>
      </c>
      <c r="I8" s="28">
        <v>75957.81</v>
      </c>
      <c r="J8" s="418">
        <v>1299</v>
      </c>
      <c r="K8" s="314">
        <v>63882.559999999998</v>
      </c>
      <c r="L8" s="89">
        <v>1208</v>
      </c>
      <c r="M8" s="28">
        <v>58232.62</v>
      </c>
      <c r="N8" s="327">
        <v>1445</v>
      </c>
      <c r="O8" s="332">
        <v>75031.06</v>
      </c>
      <c r="P8" s="104">
        <v>1178</v>
      </c>
      <c r="Q8" s="29">
        <v>57714.85</v>
      </c>
      <c r="R8" s="327">
        <v>1478</v>
      </c>
      <c r="S8" s="314">
        <v>69568.649999999994</v>
      </c>
      <c r="T8" s="89">
        <v>1532</v>
      </c>
      <c r="U8" s="73">
        <v>75358.95</v>
      </c>
      <c r="V8" s="313">
        <v>1606</v>
      </c>
      <c r="W8" s="332">
        <v>76560.31</v>
      </c>
      <c r="X8" s="83">
        <v>1361</v>
      </c>
      <c r="Y8" s="28">
        <v>64029.19</v>
      </c>
      <c r="Z8" s="89">
        <f t="shared" ref="Z8:AA10" si="0">SUM(B8,D8,F8,H8,J8,L8,N8,P8,R8,T8,V8,X8)</f>
        <v>16142</v>
      </c>
      <c r="AA8" s="345">
        <f t="shared" si="0"/>
        <v>859688.60999999987</v>
      </c>
      <c r="AC8" s="19"/>
    </row>
    <row r="9" spans="1:29" x14ac:dyDescent="0.2">
      <c r="A9" t="s">
        <v>42</v>
      </c>
      <c r="B9" s="255">
        <v>3993</v>
      </c>
      <c r="C9" s="262">
        <v>14166.95</v>
      </c>
      <c r="D9" s="90">
        <v>4531</v>
      </c>
      <c r="E9" s="30">
        <v>35382.589999999997</v>
      </c>
      <c r="F9" s="247">
        <v>4525</v>
      </c>
      <c r="G9" s="262">
        <v>91147.83</v>
      </c>
      <c r="H9" s="41">
        <v>4621</v>
      </c>
      <c r="I9" s="30">
        <v>201212.73</v>
      </c>
      <c r="J9" s="372">
        <v>4294</v>
      </c>
      <c r="K9" s="262">
        <v>189778.2</v>
      </c>
      <c r="L9" s="90">
        <v>3550</v>
      </c>
      <c r="M9" s="30">
        <v>128335.46</v>
      </c>
      <c r="N9" s="247">
        <v>4186</v>
      </c>
      <c r="O9" s="331">
        <v>155831.51999999999</v>
      </c>
      <c r="P9" s="105">
        <v>4231</v>
      </c>
      <c r="Q9" s="26">
        <v>137171.97</v>
      </c>
      <c r="R9" s="247">
        <v>4537</v>
      </c>
      <c r="S9" s="262">
        <v>136736.29</v>
      </c>
      <c r="T9" s="90">
        <v>5215</v>
      </c>
      <c r="U9" s="72">
        <v>157723.82</v>
      </c>
      <c r="V9" s="336">
        <v>5383</v>
      </c>
      <c r="W9" s="331">
        <v>163964.72</v>
      </c>
      <c r="X9" s="84">
        <v>4354</v>
      </c>
      <c r="Y9" s="30">
        <v>139590.74</v>
      </c>
      <c r="Z9" s="90">
        <f t="shared" si="0"/>
        <v>53420</v>
      </c>
      <c r="AA9" s="345">
        <f t="shared" si="0"/>
        <v>1551042.82</v>
      </c>
      <c r="AB9" s="26"/>
      <c r="AC9" s="19"/>
    </row>
    <row r="10" spans="1:29" x14ac:dyDescent="0.2">
      <c r="A10" t="s">
        <v>32</v>
      </c>
      <c r="B10" s="365">
        <v>1299</v>
      </c>
      <c r="C10" s="316">
        <v>111410.81</v>
      </c>
      <c r="D10" s="91">
        <v>1437</v>
      </c>
      <c r="E10" s="31">
        <v>108881.83</v>
      </c>
      <c r="F10" s="335">
        <f>668+13+490+122+3+9</f>
        <v>1305</v>
      </c>
      <c r="G10" s="316">
        <f>13069.47+1561.98+52740.93</f>
        <v>67372.38</v>
      </c>
      <c r="H10" s="42">
        <f>628+21+32+12+583+168</f>
        <v>1444</v>
      </c>
      <c r="I10" s="31">
        <f>21389.82+2307.53+34049.08</f>
        <v>57746.43</v>
      </c>
      <c r="J10" s="373">
        <f>601+10+22+9+581+3+2+171</f>
        <v>1399</v>
      </c>
      <c r="K10" s="316">
        <f>16328.74+652.47+87089.85</f>
        <v>104071.06</v>
      </c>
      <c r="L10" s="91">
        <f>285+8+11+15+508+134</f>
        <v>961</v>
      </c>
      <c r="M10" s="31">
        <f>7069.49+733.23+28716.18</f>
        <v>36518.9</v>
      </c>
      <c r="N10" s="335">
        <f>303+1+194+8+500+157</f>
        <v>1163</v>
      </c>
      <c r="O10" s="334">
        <f>8391.72+187.2+70073.33</f>
        <v>78652.25</v>
      </c>
      <c r="P10" s="106">
        <f>286+8+53+7+498+163</f>
        <v>1015</v>
      </c>
      <c r="Q10" s="33">
        <f>6160.12+2437.57+61463.6</f>
        <v>70061.289999999994</v>
      </c>
      <c r="R10" s="335">
        <f>419+8+241+5+663+1+248</f>
        <v>1585</v>
      </c>
      <c r="S10" s="316">
        <f>9329.42+1621.97+101978.8</f>
        <v>112930.19</v>
      </c>
      <c r="T10" s="91">
        <f>416+1+213+14+602+186</f>
        <v>1432</v>
      </c>
      <c r="U10" s="74">
        <f>8878.12+191.1+77120.83</f>
        <v>86190.05</v>
      </c>
      <c r="V10" s="342">
        <f>371+7+172+16+551+186</f>
        <v>1303</v>
      </c>
      <c r="W10" s="316">
        <f>5591.5+2418.36+48220.35</f>
        <v>56230.21</v>
      </c>
      <c r="X10" s="85">
        <f>287+4+281+10+511+167</f>
        <v>1260</v>
      </c>
      <c r="Y10" s="32">
        <f>5047+698.95+66563.53</f>
        <v>72309.48</v>
      </c>
      <c r="Z10" s="91">
        <f t="shared" si="0"/>
        <v>15603</v>
      </c>
      <c r="AA10" s="347">
        <f t="shared" si="0"/>
        <v>962374.88000000012</v>
      </c>
      <c r="AB10" s="33"/>
      <c r="AC10" s="20"/>
    </row>
    <row r="11" spans="1:29" x14ac:dyDescent="0.2">
      <c r="A11" t="s">
        <v>14</v>
      </c>
      <c r="B11" s="255"/>
      <c r="C11" s="319">
        <f>SUM(C8:C10)</f>
        <v>211238.47999999998</v>
      </c>
      <c r="D11" s="89"/>
      <c r="E11" s="29">
        <f>SUM(E8:E10)</f>
        <v>226368.62</v>
      </c>
      <c r="F11" s="327"/>
      <c r="G11" s="319">
        <f>SUM(G8:G10)</f>
        <v>234107.90000000002</v>
      </c>
      <c r="H11" s="40"/>
      <c r="I11" s="29">
        <f>SUM(I8:I10)</f>
        <v>334916.97000000003</v>
      </c>
      <c r="J11" s="371"/>
      <c r="K11" s="319">
        <f>SUM(K8:K10)</f>
        <v>357731.82</v>
      </c>
      <c r="L11" s="89"/>
      <c r="M11" s="29">
        <f>SUM(M8:M10)</f>
        <v>223086.98</v>
      </c>
      <c r="N11" s="327"/>
      <c r="O11" s="319">
        <f>SUM(O8:O10)</f>
        <v>309514.82999999996</v>
      </c>
      <c r="P11" s="89"/>
      <c r="Q11" s="29">
        <f>SUM(Q8:Q10)</f>
        <v>264948.11</v>
      </c>
      <c r="R11" s="324"/>
      <c r="S11" s="319">
        <f>SUM(S8:S10)</f>
        <v>319235.13</v>
      </c>
      <c r="T11" s="89"/>
      <c r="U11" s="75">
        <f>SUM(U8:U10)</f>
        <v>319272.82</v>
      </c>
      <c r="V11" s="327"/>
      <c r="W11" s="319">
        <f>SUM(W8:W10)</f>
        <v>296755.24</v>
      </c>
      <c r="X11" s="83"/>
      <c r="Y11" s="29">
        <f>SUM(Y8:Y10)</f>
        <v>275929.40999999997</v>
      </c>
      <c r="Z11" s="89"/>
      <c r="AA11" s="349">
        <f>SUM(C11,E11,G11,I11,K11,M11,O11,Q11,S11,U11,W11,Y11)</f>
        <v>3373106.3099999996</v>
      </c>
      <c r="AB11" s="63">
        <f>'FY 2006'!$P$11</f>
        <v>3169337.6700000004</v>
      </c>
      <c r="AC11" s="23">
        <f>AA11+AB11</f>
        <v>6542443.9800000004</v>
      </c>
    </row>
    <row r="12" spans="1:29" x14ac:dyDescent="0.2">
      <c r="A12" t="s">
        <v>43</v>
      </c>
      <c r="B12" s="365"/>
      <c r="C12" s="320">
        <v>33333.339999999997</v>
      </c>
      <c r="D12" s="91"/>
      <c r="E12" s="33">
        <v>33333.33</v>
      </c>
      <c r="F12" s="335"/>
      <c r="G12" s="320">
        <v>33333.33</v>
      </c>
      <c r="H12" s="42"/>
      <c r="I12" s="33">
        <v>33333.339999999997</v>
      </c>
      <c r="J12" s="373"/>
      <c r="K12" s="320">
        <v>33333.33</v>
      </c>
      <c r="L12" s="91"/>
      <c r="M12" s="33">
        <v>33333.33</v>
      </c>
      <c r="N12" s="335"/>
      <c r="O12" s="320">
        <v>33333.339999999997</v>
      </c>
      <c r="P12" s="91"/>
      <c r="Q12" s="33">
        <v>33333.33</v>
      </c>
      <c r="R12" s="326"/>
      <c r="S12" s="320">
        <v>33333.33</v>
      </c>
      <c r="T12" s="91"/>
      <c r="U12" s="76">
        <v>33333.339999999997</v>
      </c>
      <c r="V12" s="335"/>
      <c r="W12" s="316">
        <v>33333.33</v>
      </c>
      <c r="X12" s="85"/>
      <c r="Y12" s="31">
        <v>33333.33</v>
      </c>
      <c r="Z12" s="91"/>
      <c r="AA12" s="347">
        <f>SUM(C12,E12,G12,I12,K12,M12,O12,Q12,S12,U12,W12,Y12)</f>
        <v>400000</v>
      </c>
      <c r="AB12" s="18">
        <f>'FY 2006'!$P$12</f>
        <v>599999.74</v>
      </c>
      <c r="AC12" s="20">
        <f>AA12+AB12</f>
        <v>999999.74</v>
      </c>
    </row>
    <row r="13" spans="1:29" x14ac:dyDescent="0.2">
      <c r="A13" t="s">
        <v>0</v>
      </c>
      <c r="B13" s="255"/>
      <c r="C13" s="248">
        <f t="shared" ref="C13:Y13" si="1">SUM(C11:C12)</f>
        <v>244571.81999999998</v>
      </c>
      <c r="D13" s="90"/>
      <c r="E13" s="26">
        <f t="shared" si="1"/>
        <v>259701.95</v>
      </c>
      <c r="F13" s="247"/>
      <c r="G13" s="248">
        <f t="shared" si="1"/>
        <v>267441.23000000004</v>
      </c>
      <c r="H13" s="41"/>
      <c r="I13" s="26">
        <f t="shared" si="1"/>
        <v>368250.31000000006</v>
      </c>
      <c r="J13" s="372"/>
      <c r="K13" s="248">
        <f t="shared" si="1"/>
        <v>391065.15</v>
      </c>
      <c r="L13" s="90"/>
      <c r="M13" s="26">
        <f t="shared" si="1"/>
        <v>256420.31</v>
      </c>
      <c r="N13" s="247"/>
      <c r="O13" s="248">
        <f>SUM(O11:O12)</f>
        <v>342848.16999999993</v>
      </c>
      <c r="Q13" s="26">
        <f t="shared" si="1"/>
        <v>298281.44</v>
      </c>
      <c r="R13" s="328"/>
      <c r="S13" s="248">
        <f t="shared" si="1"/>
        <v>352568.46</v>
      </c>
      <c r="T13" s="90"/>
      <c r="U13" s="77">
        <f t="shared" si="1"/>
        <v>352606.16000000003</v>
      </c>
      <c r="V13" s="247"/>
      <c r="W13" s="262">
        <f t="shared" si="1"/>
        <v>330088.57</v>
      </c>
      <c r="X13" s="84"/>
      <c r="Y13" s="30">
        <f t="shared" si="1"/>
        <v>309262.74</v>
      </c>
      <c r="Z13" s="90"/>
      <c r="AA13" s="345">
        <f>SUM(C13,E13,G13,I13,K13,M13,O13,Q13,S13,U13,W13,Y13)</f>
        <v>3773106.3099999996</v>
      </c>
      <c r="AB13" s="64">
        <f>SUM(AB11:AB12)</f>
        <v>3769337.41</v>
      </c>
      <c r="AC13" s="19">
        <f>AA13+AB13</f>
        <v>7542443.7199999997</v>
      </c>
    </row>
    <row r="14" spans="1:29" x14ac:dyDescent="0.2">
      <c r="B14" s="255"/>
      <c r="C14" s="248"/>
      <c r="D14" s="90"/>
      <c r="E14" s="26"/>
      <c r="F14" s="247"/>
      <c r="G14" s="248"/>
      <c r="H14" s="41"/>
      <c r="J14" s="369"/>
      <c r="K14" s="227"/>
      <c r="N14" s="225"/>
      <c r="O14" s="248"/>
      <c r="R14" s="255"/>
      <c r="S14" s="226"/>
      <c r="U14" s="77"/>
      <c r="V14" s="247"/>
      <c r="W14" s="262"/>
      <c r="X14" s="84"/>
      <c r="AA14" s="273"/>
      <c r="AB14" s="11"/>
      <c r="AC14" s="19"/>
    </row>
    <row r="15" spans="1:29" x14ac:dyDescent="0.2">
      <c r="A15" t="s">
        <v>1</v>
      </c>
      <c r="B15" s="255"/>
      <c r="C15" s="227"/>
      <c r="D15" s="90"/>
      <c r="E15" s="26"/>
      <c r="F15" s="247"/>
      <c r="G15" s="248"/>
      <c r="H15" s="41"/>
      <c r="J15" s="369"/>
      <c r="K15" s="227"/>
      <c r="N15" s="225"/>
      <c r="O15" s="248"/>
      <c r="R15" s="255"/>
      <c r="S15" s="226"/>
      <c r="U15" s="77"/>
      <c r="V15" s="247"/>
      <c r="W15" s="262"/>
      <c r="X15" s="84"/>
      <c r="AA15" s="273"/>
      <c r="AB15" s="11"/>
      <c r="AC15" s="19"/>
    </row>
    <row r="16" spans="1:29" x14ac:dyDescent="0.2">
      <c r="A16" s="4" t="s">
        <v>56</v>
      </c>
      <c r="B16" s="255"/>
      <c r="C16" s="248">
        <v>87174.1</v>
      </c>
      <c r="D16" s="90"/>
      <c r="E16" s="34">
        <v>104053.99</v>
      </c>
      <c r="F16" s="247"/>
      <c r="G16" s="329">
        <v>103462.24</v>
      </c>
      <c r="H16" s="41"/>
      <c r="I16" s="34">
        <v>107941.68</v>
      </c>
      <c r="J16" s="372"/>
      <c r="K16" s="329">
        <v>101548.74</v>
      </c>
      <c r="L16" s="90"/>
      <c r="M16" s="66">
        <v>82979.960000000006</v>
      </c>
      <c r="N16" s="225"/>
      <c r="O16" s="248">
        <v>99946</v>
      </c>
      <c r="Q16" s="26">
        <v>99731.24</v>
      </c>
      <c r="R16" s="328"/>
      <c r="S16" s="262">
        <v>116796.4</v>
      </c>
      <c r="T16" s="90"/>
      <c r="U16" s="78">
        <v>123305.28</v>
      </c>
      <c r="V16" s="247"/>
      <c r="W16" s="262">
        <v>123040.96000000001</v>
      </c>
      <c r="X16" s="84"/>
      <c r="Y16" s="34">
        <v>106719.2</v>
      </c>
      <c r="AA16" s="352">
        <f>SUM(C16:Y16)</f>
        <v>1256699.79</v>
      </c>
      <c r="AB16" s="11">
        <f>'FY 2006'!P16</f>
        <v>1545895.1099999999</v>
      </c>
      <c r="AC16" s="62">
        <f>AA16+AB16</f>
        <v>2802594.9</v>
      </c>
    </row>
    <row r="17" spans="1:32" x14ac:dyDescent="0.2">
      <c r="A17" s="4" t="s">
        <v>34</v>
      </c>
      <c r="B17" s="365"/>
      <c r="C17" s="321">
        <v>36889.199999999997</v>
      </c>
      <c r="D17" s="91"/>
      <c r="E17" s="35">
        <v>24777.08</v>
      </c>
      <c r="F17" s="335"/>
      <c r="G17" s="321">
        <v>22296.720000000001</v>
      </c>
      <c r="H17" s="42"/>
      <c r="I17" s="35">
        <v>23170.52</v>
      </c>
      <c r="J17" s="373"/>
      <c r="K17" s="321">
        <v>18550.2</v>
      </c>
      <c r="L17" s="91"/>
      <c r="M17" s="67">
        <v>14767.62</v>
      </c>
      <c r="N17" s="318"/>
      <c r="O17" s="320">
        <v>17801.099999999999</v>
      </c>
      <c r="P17" s="91"/>
      <c r="Q17" s="33">
        <v>18091.12</v>
      </c>
      <c r="R17" s="326"/>
      <c r="S17" s="316">
        <v>21210</v>
      </c>
      <c r="T17" s="91"/>
      <c r="U17" s="79">
        <v>22404.26</v>
      </c>
      <c r="V17" s="335"/>
      <c r="W17" s="316">
        <v>25950.9</v>
      </c>
      <c r="X17" s="85"/>
      <c r="Y17" s="35">
        <v>22996.48</v>
      </c>
      <c r="Z17" s="91"/>
      <c r="AA17" s="347">
        <f>SUM(C17:Y17)</f>
        <v>268905.2</v>
      </c>
      <c r="AB17" s="18">
        <f>'FY 2006'!P17</f>
        <v>573957.32000000007</v>
      </c>
      <c r="AC17" s="20">
        <f>AA17+AB17</f>
        <v>842862.52</v>
      </c>
    </row>
    <row r="18" spans="1:32" x14ac:dyDescent="0.2">
      <c r="A18" t="s">
        <v>2</v>
      </c>
      <c r="B18" s="255">
        <v>5655</v>
      </c>
      <c r="C18" s="248">
        <f>SUM(C16:C17)</f>
        <v>124063.3</v>
      </c>
      <c r="D18" s="90">
        <v>5883</v>
      </c>
      <c r="E18" s="26">
        <f t="shared" ref="E18:Y18" si="2">SUM(E16:E17)</f>
        <v>128831.07</v>
      </c>
      <c r="F18" s="247">
        <v>5892</v>
      </c>
      <c r="G18" s="248">
        <f t="shared" si="2"/>
        <v>125758.96</v>
      </c>
      <c r="H18" s="41">
        <v>6533</v>
      </c>
      <c r="I18" s="26">
        <f t="shared" si="2"/>
        <v>131112.19999999998</v>
      </c>
      <c r="J18" s="372">
        <v>6147</v>
      </c>
      <c r="K18" s="248">
        <f t="shared" si="2"/>
        <v>120098.94</v>
      </c>
      <c r="L18" s="90">
        <v>5023</v>
      </c>
      <c r="M18" s="26">
        <f t="shared" si="2"/>
        <v>97747.58</v>
      </c>
      <c r="N18" s="247">
        <v>6050</v>
      </c>
      <c r="O18" s="248">
        <f t="shared" si="2"/>
        <v>117747.1</v>
      </c>
      <c r="P18" s="90">
        <v>6037</v>
      </c>
      <c r="Q18" s="26">
        <f t="shared" si="2"/>
        <v>117822.36</v>
      </c>
      <c r="R18" s="247">
        <v>7070</v>
      </c>
      <c r="S18" s="248">
        <f t="shared" si="2"/>
        <v>138006.39999999999</v>
      </c>
      <c r="T18" s="90">
        <v>7468</v>
      </c>
      <c r="U18" s="80">
        <f t="shared" si="2"/>
        <v>145709.54</v>
      </c>
      <c r="V18" s="247">
        <v>7448</v>
      </c>
      <c r="W18" s="262">
        <f t="shared" si="2"/>
        <v>148991.86000000002</v>
      </c>
      <c r="X18" s="84">
        <v>6460</v>
      </c>
      <c r="Y18" s="34">
        <f t="shared" si="2"/>
        <v>129715.68</v>
      </c>
      <c r="Z18" s="90">
        <f>SUM(B18,D18,F18,H18,J18,L18,N18,P18,R18,T18,V18,X18)</f>
        <v>75666</v>
      </c>
      <c r="AA18" s="345">
        <f>SUM(C18,E18,G18,I18,K18,M18,O18,Q18,S18,U18,W18,Y18)</f>
        <v>1525604.99</v>
      </c>
      <c r="AB18" s="11">
        <f>'FY 2006'!P18</f>
        <v>2119852.4300000002</v>
      </c>
      <c r="AC18" s="19">
        <f>AA18+AB18</f>
        <v>3645457.42</v>
      </c>
    </row>
    <row r="19" spans="1:32" x14ac:dyDescent="0.2">
      <c r="B19" s="255"/>
      <c r="C19" s="248"/>
      <c r="D19" s="90"/>
      <c r="E19" s="26"/>
      <c r="F19" s="247"/>
      <c r="G19" s="248"/>
      <c r="H19" s="41"/>
      <c r="I19" s="26"/>
      <c r="J19" s="372"/>
      <c r="K19" s="248"/>
      <c r="L19" s="90"/>
      <c r="M19" s="26"/>
      <c r="N19" s="247"/>
      <c r="O19" s="248"/>
      <c r="R19" s="255"/>
      <c r="S19" s="226"/>
      <c r="U19" s="77"/>
      <c r="V19" s="247"/>
      <c r="W19" s="262"/>
      <c r="X19" s="84"/>
      <c r="AA19" s="273"/>
      <c r="AB19" s="11"/>
      <c r="AC19" s="19"/>
    </row>
    <row r="20" spans="1:32" s="8" customFormat="1" ht="13.5" thickBot="1" x14ac:dyDescent="0.25">
      <c r="A20" s="361" t="s">
        <v>3</v>
      </c>
      <c r="B20" s="376"/>
      <c r="C20" s="159">
        <f t="shared" ref="C20:Y20" si="3">C13-C18</f>
        <v>120508.51999999997</v>
      </c>
      <c r="D20" s="160"/>
      <c r="E20" s="159">
        <f t="shared" si="3"/>
        <v>130870.88</v>
      </c>
      <c r="F20" s="160"/>
      <c r="G20" s="159">
        <f t="shared" si="3"/>
        <v>141682.27000000002</v>
      </c>
      <c r="H20" s="377"/>
      <c r="I20" s="159">
        <f t="shared" si="3"/>
        <v>237138.11000000007</v>
      </c>
      <c r="J20" s="377"/>
      <c r="K20" s="159">
        <f t="shared" si="3"/>
        <v>270966.21000000002</v>
      </c>
      <c r="L20" s="160"/>
      <c r="M20" s="159">
        <f t="shared" si="3"/>
        <v>158672.72999999998</v>
      </c>
      <c r="N20" s="160"/>
      <c r="O20" s="159">
        <f t="shared" si="3"/>
        <v>225101.06999999992</v>
      </c>
      <c r="P20" s="160"/>
      <c r="Q20" s="159">
        <f t="shared" si="3"/>
        <v>180459.08000000002</v>
      </c>
      <c r="R20" s="161"/>
      <c r="S20" s="159">
        <f t="shared" si="3"/>
        <v>214562.06000000003</v>
      </c>
      <c r="T20" s="160"/>
      <c r="U20" s="162">
        <f t="shared" si="3"/>
        <v>206896.62000000002</v>
      </c>
      <c r="V20" s="160"/>
      <c r="W20" s="159">
        <f t="shared" si="3"/>
        <v>181096.71</v>
      </c>
      <c r="X20" s="420"/>
      <c r="Y20" s="159">
        <f t="shared" si="3"/>
        <v>179547.06</v>
      </c>
      <c r="Z20" s="160"/>
      <c r="AA20" s="163">
        <f>SUM(AA13-AA18)</f>
        <v>2247501.3199999994</v>
      </c>
      <c r="AB20" s="59">
        <f>SUM(AB13-AB18)</f>
        <v>1649484.98</v>
      </c>
      <c r="AC20" s="59">
        <f>AA20+AB20</f>
        <v>3896986.2999999993</v>
      </c>
      <c r="AD20" s="60"/>
      <c r="AE20" s="60"/>
      <c r="AF20" s="60"/>
    </row>
    <row r="21" spans="1:32" x14ac:dyDescent="0.2">
      <c r="B21" s="255"/>
      <c r="C21" s="227"/>
      <c r="F21" s="225"/>
      <c r="G21" s="227"/>
      <c r="J21" s="369"/>
      <c r="K21" s="227"/>
      <c r="N21" s="225"/>
      <c r="O21" s="248"/>
      <c r="R21" s="255"/>
      <c r="S21" s="226"/>
      <c r="V21" s="225"/>
      <c r="W21" s="226"/>
      <c r="AA21" s="273"/>
    </row>
    <row r="22" spans="1:32" x14ac:dyDescent="0.2">
      <c r="B22" s="255"/>
      <c r="C22" s="227"/>
      <c r="F22" s="225"/>
      <c r="G22" s="227"/>
      <c r="J22" s="369"/>
      <c r="K22" s="227"/>
      <c r="N22" s="225"/>
      <c r="O22" s="248"/>
      <c r="R22" s="255"/>
      <c r="S22" s="226"/>
      <c r="V22" s="225"/>
      <c r="W22" s="226"/>
      <c r="AA22" s="273"/>
    </row>
    <row r="23" spans="1:32" x14ac:dyDescent="0.2">
      <c r="A23" s="45" t="s">
        <v>39</v>
      </c>
      <c r="B23" s="255"/>
      <c r="C23" s="227"/>
      <c r="F23" s="225"/>
      <c r="G23" s="227"/>
      <c r="J23" s="369"/>
      <c r="K23" s="227"/>
      <c r="N23" s="225"/>
      <c r="O23" s="248"/>
      <c r="R23" s="255"/>
      <c r="S23" s="226"/>
      <c r="V23" s="225"/>
      <c r="W23" s="226"/>
      <c r="AA23" s="273"/>
    </row>
    <row r="24" spans="1:32" x14ac:dyDescent="0.2">
      <c r="A24" s="46" t="s">
        <v>40</v>
      </c>
      <c r="B24" s="365">
        <v>123</v>
      </c>
      <c r="C24" s="358"/>
      <c r="D24" s="92">
        <v>102</v>
      </c>
      <c r="E24" s="49"/>
      <c r="F24" s="318">
        <v>37</v>
      </c>
      <c r="G24" s="358"/>
      <c r="H24" s="48">
        <v>67</v>
      </c>
      <c r="I24" s="49"/>
      <c r="J24" s="374">
        <v>108</v>
      </c>
      <c r="K24" s="358"/>
      <c r="L24" s="92">
        <v>70</v>
      </c>
      <c r="M24" s="49"/>
      <c r="N24" s="318">
        <v>73</v>
      </c>
      <c r="O24" s="320"/>
      <c r="P24" s="91">
        <v>75</v>
      </c>
      <c r="Q24" s="49"/>
      <c r="R24" s="318">
        <v>102</v>
      </c>
      <c r="S24" s="367"/>
      <c r="T24" s="92">
        <v>44</v>
      </c>
      <c r="U24" s="58"/>
      <c r="V24" s="318">
        <v>63</v>
      </c>
      <c r="W24" s="367"/>
      <c r="X24" s="82">
        <v>73</v>
      </c>
      <c r="Y24" s="48"/>
      <c r="Z24" s="92">
        <f>SUM(B24,D24,F24,H24,J24,L24,N24,P24,R24,T24,V24,X24)</f>
        <v>937</v>
      </c>
      <c r="AA24" s="362"/>
      <c r="AB24" s="47"/>
      <c r="AC24" s="47"/>
    </row>
    <row r="25" spans="1:32" x14ac:dyDescent="0.2">
      <c r="B25" s="359">
        <f>B24/B8</f>
        <v>0.10686359687228497</v>
      </c>
      <c r="C25" s="227"/>
      <c r="D25" s="139">
        <f>D24/D8</f>
        <v>8.2926829268292687E-2</v>
      </c>
      <c r="F25" s="359">
        <f>F24/F8</f>
        <v>2.9365079365079365E-2</v>
      </c>
      <c r="G25" s="227"/>
      <c r="H25" s="139">
        <f>H24/H8</f>
        <v>4.8063127690100432E-2</v>
      </c>
      <c r="J25" s="359">
        <f>J24/J8</f>
        <v>8.3140877598152418E-2</v>
      </c>
      <c r="K25" s="227"/>
      <c r="L25" s="139">
        <f>L24/L8</f>
        <v>5.7947019867549666E-2</v>
      </c>
      <c r="N25" s="359">
        <f>N24/N8</f>
        <v>5.0519031141868509E-2</v>
      </c>
      <c r="O25" s="227"/>
      <c r="P25" s="139">
        <f>P24/P8</f>
        <v>6.3667232597623094E-2</v>
      </c>
      <c r="R25" s="359">
        <f>R24/R8</f>
        <v>6.9012178619756434E-2</v>
      </c>
      <c r="S25" s="227"/>
      <c r="T25" s="139">
        <f>T24/T8</f>
        <v>2.8720626631853787E-2</v>
      </c>
      <c r="U25"/>
      <c r="V25" s="359">
        <f>V24/V8</f>
        <v>3.9227895392278951E-2</v>
      </c>
      <c r="W25" s="227"/>
      <c r="X25" s="139">
        <f>X24/X8</f>
        <v>5.3637031594415872E-2</v>
      </c>
      <c r="Y25"/>
      <c r="Z25" s="139">
        <f>Z24/Z8</f>
        <v>5.8047329946722834E-2</v>
      </c>
      <c r="AA25" s="273"/>
    </row>
    <row r="26" spans="1:32" x14ac:dyDescent="0.2">
      <c r="B26" s="255"/>
      <c r="C26" s="227"/>
      <c r="F26" s="225"/>
      <c r="G26" s="227"/>
      <c r="H26" s="6"/>
      <c r="J26" s="226"/>
      <c r="K26" s="227"/>
      <c r="N26" s="225"/>
      <c r="O26" s="248"/>
      <c r="P26" s="88"/>
      <c r="R26" s="225"/>
      <c r="S26" s="226"/>
      <c r="V26" s="225"/>
      <c r="W26" s="226"/>
      <c r="AA26" s="273"/>
    </row>
    <row r="27" spans="1:32" x14ac:dyDescent="0.2">
      <c r="A27" t="s">
        <v>37</v>
      </c>
      <c r="B27" s="365">
        <f>SUM(B8,B9,B10,B24)</f>
        <v>6566</v>
      </c>
      <c r="C27" s="322">
        <v>1875777.16</v>
      </c>
      <c r="D27" s="92">
        <f>SUM(D8,D9,D10,D24)</f>
        <v>7300</v>
      </c>
      <c r="E27" s="57">
        <v>2211303.38</v>
      </c>
      <c r="F27" s="318">
        <f>SUM(F8,F9,F10,F24)</f>
        <v>7127</v>
      </c>
      <c r="G27" s="322">
        <v>1980460.47</v>
      </c>
      <c r="H27" s="53">
        <f>SUM(H8,H9,H10,H24)</f>
        <v>7526</v>
      </c>
      <c r="I27" s="57">
        <v>2075741.47</v>
      </c>
      <c r="J27" s="419">
        <f>SUM(J8,J9,J10,J24)</f>
        <v>7100</v>
      </c>
      <c r="K27" s="322">
        <v>2023935.39</v>
      </c>
      <c r="L27" s="92">
        <f>SUM(L8,L9,L10,L24)</f>
        <v>5789</v>
      </c>
      <c r="M27" s="57">
        <v>1626342.37</v>
      </c>
      <c r="N27" s="318">
        <f>SUM(N8,N9,N10,N24)</f>
        <v>6867</v>
      </c>
      <c r="O27" s="366">
        <v>1736622.94</v>
      </c>
      <c r="P27" s="92">
        <f>SUM(P8,P9,P10,P24)</f>
        <v>6499</v>
      </c>
      <c r="Q27" s="57">
        <v>1674424.87</v>
      </c>
      <c r="R27" s="318">
        <f>SUM(R8,R9,R10,R24)</f>
        <v>7702</v>
      </c>
      <c r="S27" s="339">
        <v>2041264.9</v>
      </c>
      <c r="T27" s="92">
        <f>SUM(T8,T9,T10,T24)</f>
        <v>8223</v>
      </c>
      <c r="U27" s="58">
        <v>1996998.89</v>
      </c>
      <c r="V27" s="318">
        <f>SUM(V8,V9,V10,V24)</f>
        <v>8355</v>
      </c>
      <c r="W27" s="368">
        <v>2072624.07</v>
      </c>
      <c r="X27" s="82">
        <f>SUM(X8,X9,X10,X24)</f>
        <v>7048</v>
      </c>
      <c r="Y27" s="48">
        <v>1786995.24</v>
      </c>
      <c r="Z27" s="92">
        <f>SUM(B27,D27,F27,H27,J27,L27,N27,P27,R27,T27,V27,X27)</f>
        <v>86102</v>
      </c>
      <c r="AA27" s="355">
        <f>SUM(C27,E27,G27,I27,K27,M27,O27,Q27,S27,U27,W27,Y27)</f>
        <v>23102491.149999995</v>
      </c>
      <c r="AB27" s="47"/>
      <c r="AC27" s="47"/>
    </row>
    <row r="28" spans="1:32" x14ac:dyDescent="0.2">
      <c r="A28" s="46" t="s">
        <v>48</v>
      </c>
      <c r="B28" s="255"/>
      <c r="C28" s="323">
        <f>C20/C27</f>
        <v>6.4244582229586372E-2</v>
      </c>
      <c r="E28" s="50">
        <f>E20/E27</f>
        <v>5.9182688899069115E-2</v>
      </c>
      <c r="F28" s="225"/>
      <c r="G28" s="323">
        <f>G20/G27</f>
        <v>7.1540064619416519E-2</v>
      </c>
      <c r="I28" s="50">
        <f>I20/I27</f>
        <v>0.11424260363213733</v>
      </c>
      <c r="J28" s="369"/>
      <c r="K28" s="323">
        <f>K20/K27</f>
        <v>0.13388085970471619</v>
      </c>
      <c r="M28" s="50">
        <f>M20/M27</f>
        <v>9.7564161720757464E-2</v>
      </c>
      <c r="N28" s="225"/>
      <c r="O28" s="323">
        <f>O20/O27</f>
        <v>0.12962000260114032</v>
      </c>
      <c r="Q28" s="50">
        <f>Q20/Q27</f>
        <v>0.10777376950928828</v>
      </c>
      <c r="R28" s="255"/>
      <c r="S28" s="340">
        <f>S20/S27</f>
        <v>0.10511230561011461</v>
      </c>
      <c r="U28" s="70">
        <f>U20/U27</f>
        <v>0.10360377315983388</v>
      </c>
      <c r="V28" s="225"/>
      <c r="W28" s="340">
        <f>W20/W27</f>
        <v>8.7375570235464842E-2</v>
      </c>
      <c r="Y28" s="50">
        <f>Y20/Y27</f>
        <v>0.10047427994268188</v>
      </c>
      <c r="AA28" s="356">
        <f>AA20/AA27</f>
        <v>9.728393814361444E-2</v>
      </c>
    </row>
    <row r="30" spans="1:32" x14ac:dyDescent="0.2">
      <c r="B30" s="102"/>
      <c r="C30" s="55"/>
      <c r="D30" s="103"/>
      <c r="E30" s="55"/>
      <c r="F30" s="103"/>
      <c r="G30" s="55"/>
      <c r="H30" s="56"/>
      <c r="I30" s="55"/>
      <c r="J30" s="43"/>
      <c r="K30" s="7"/>
      <c r="L30" s="94"/>
      <c r="M30" s="7"/>
      <c r="N30" s="94"/>
    </row>
    <row r="31" spans="1:32" x14ac:dyDescent="0.2">
      <c r="A31" s="61" t="s">
        <v>45</v>
      </c>
    </row>
    <row r="32" spans="1:32" x14ac:dyDescent="0.2">
      <c r="A32" s="55" t="s">
        <v>44</v>
      </c>
    </row>
    <row r="35" spans="5:27" x14ac:dyDescent="0.2">
      <c r="E35" s="51"/>
    </row>
    <row r="36" spans="5:27" x14ac:dyDescent="0.2">
      <c r="AA36" s="38"/>
    </row>
  </sheetData>
  <phoneticPr fontId="0" type="noConversion"/>
  <pageMargins left="0.17" right="0.16" top="1" bottom="1" header="0.5" footer="0.5"/>
  <pageSetup scale="52" orientation="landscape" r:id="rId1"/>
  <headerFooter alignWithMargins="0">
    <oddFooter xml:space="preserve">&amp;L&amp;F&amp;CFY 07 Calculated Savings
Medicaid&amp;RPrepared by Sunny Israelson
&amp;D
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workbookViewId="0"/>
  </sheetViews>
  <sheetFormatPr defaultRowHeight="12.75" x14ac:dyDescent="0.2"/>
  <cols>
    <col min="1" max="1" width="32" customWidth="1"/>
    <col min="2" max="2" width="13.5703125" customWidth="1"/>
    <col min="3" max="3" width="12.140625" customWidth="1"/>
    <col min="4" max="4" width="12.5703125" customWidth="1"/>
    <col min="5" max="5" width="12.140625" customWidth="1"/>
    <col min="6" max="6" width="11.42578125" customWidth="1"/>
    <col min="7" max="7" width="11.28515625" customWidth="1"/>
    <col min="8" max="8" width="11.85546875" style="1" customWidth="1"/>
    <col min="9" max="9" width="10.7109375" customWidth="1"/>
    <col min="10" max="10" width="12" style="6" customWidth="1"/>
    <col min="11" max="11" width="12.28515625" style="6" bestFit="1" customWidth="1"/>
    <col min="12" max="12" width="10.5703125" style="6" customWidth="1"/>
    <col min="13" max="13" width="12" style="6" bestFit="1" customWidth="1"/>
    <col min="14" max="14" width="12.5703125" style="6" customWidth="1"/>
    <col min="15" max="15" width="14.85546875" customWidth="1"/>
    <col min="16" max="16" width="13.42578125" bestFit="1" customWidth="1"/>
  </cols>
  <sheetData>
    <row r="1" spans="1:27" ht="21.75" x14ac:dyDescent="0.3">
      <c r="A1" s="9" t="s">
        <v>13</v>
      </c>
      <c r="B1" s="9"/>
      <c r="C1" s="9"/>
      <c r="D1" s="9"/>
      <c r="E1" s="9"/>
      <c r="F1" s="9"/>
      <c r="G1" s="9"/>
    </row>
    <row r="3" spans="1:27" ht="18" x14ac:dyDescent="0.25">
      <c r="A3" s="152" t="s">
        <v>126</v>
      </c>
      <c r="B3" s="88"/>
      <c r="D3" s="88"/>
      <c r="F3" s="88"/>
      <c r="H3" s="96"/>
      <c r="J3" s="96"/>
      <c r="K3"/>
      <c r="L3" s="88"/>
      <c r="M3"/>
      <c r="N3" s="88"/>
      <c r="O3" s="26"/>
      <c r="P3" s="90"/>
      <c r="R3" s="96"/>
      <c r="S3" s="6"/>
      <c r="T3" s="88"/>
      <c r="U3" s="71"/>
      <c r="V3" s="88"/>
      <c r="W3" s="6"/>
      <c r="X3" s="88"/>
      <c r="Y3" s="6"/>
      <c r="Z3" s="88"/>
      <c r="AA3" s="6"/>
    </row>
    <row r="5" spans="1:27" x14ac:dyDescent="0.2">
      <c r="B5" s="226" t="s">
        <v>21</v>
      </c>
      <c r="C5" s="6" t="s">
        <v>22</v>
      </c>
      <c r="D5" s="226" t="s">
        <v>23</v>
      </c>
      <c r="E5" s="6" t="s">
        <v>24</v>
      </c>
      <c r="F5" s="226" t="s">
        <v>25</v>
      </c>
      <c r="G5" s="6" t="s">
        <v>20</v>
      </c>
      <c r="H5" s="421" t="s">
        <v>4</v>
      </c>
      <c r="I5" t="s">
        <v>5</v>
      </c>
      <c r="J5" s="226" t="s">
        <v>6</v>
      </c>
      <c r="K5" s="5" t="s">
        <v>7</v>
      </c>
      <c r="L5" s="226" t="s">
        <v>8</v>
      </c>
      <c r="M5" s="6" t="s">
        <v>9</v>
      </c>
      <c r="N5" s="433" t="s">
        <v>29</v>
      </c>
      <c r="O5" s="86" t="s">
        <v>27</v>
      </c>
      <c r="P5" s="8" t="s">
        <v>26</v>
      </c>
    </row>
    <row r="6" spans="1:27" x14ac:dyDescent="0.2">
      <c r="B6" s="226"/>
      <c r="C6" s="6"/>
      <c r="D6" s="226"/>
      <c r="E6" s="6"/>
      <c r="F6" s="226"/>
      <c r="G6" s="6"/>
      <c r="H6" s="421"/>
      <c r="J6" s="226"/>
      <c r="K6" s="5"/>
      <c r="L6" s="226"/>
      <c r="N6" s="273"/>
      <c r="P6" s="8"/>
    </row>
    <row r="7" spans="1:27" x14ac:dyDescent="0.2">
      <c r="A7" t="s">
        <v>30</v>
      </c>
      <c r="B7" s="226"/>
      <c r="C7" s="6"/>
      <c r="D7" s="226"/>
      <c r="E7" s="6"/>
      <c r="F7" s="226"/>
      <c r="G7" s="6"/>
      <c r="H7" s="421"/>
      <c r="J7" s="226"/>
      <c r="K7" s="5"/>
      <c r="L7" s="226"/>
      <c r="N7" s="273"/>
      <c r="P7" s="8"/>
    </row>
    <row r="8" spans="1:27" s="21" customFormat="1" x14ac:dyDescent="0.2">
      <c r="A8" s="21" t="s">
        <v>33</v>
      </c>
      <c r="B8" s="429">
        <v>63509.35</v>
      </c>
      <c r="C8" s="22">
        <v>88179.05</v>
      </c>
      <c r="D8" s="429">
        <v>89255.96</v>
      </c>
      <c r="E8" s="22">
        <v>80713.759999999995</v>
      </c>
      <c r="F8" s="429">
        <v>64687.46</v>
      </c>
      <c r="G8" s="22">
        <v>66883.789999999994</v>
      </c>
      <c r="H8" s="429">
        <v>68013.86</v>
      </c>
      <c r="I8" s="21">
        <v>68142.03</v>
      </c>
      <c r="J8" s="429">
        <v>77245.649999999994</v>
      </c>
      <c r="K8" s="22">
        <v>71784.2</v>
      </c>
      <c r="L8" s="429">
        <v>83041.5</v>
      </c>
      <c r="M8" s="22">
        <v>97142.62</v>
      </c>
      <c r="N8" s="345">
        <f>SUM(B8:M8)</f>
        <v>918599.23</v>
      </c>
      <c r="P8" s="19"/>
    </row>
    <row r="9" spans="1:27" x14ac:dyDescent="0.2">
      <c r="A9" t="s">
        <v>31</v>
      </c>
      <c r="B9" s="421"/>
      <c r="C9" s="5"/>
      <c r="D9" s="421"/>
      <c r="E9" s="5">
        <v>13248.55</v>
      </c>
      <c r="F9" s="421">
        <v>23717.79</v>
      </c>
      <c r="G9" s="5">
        <v>22117</v>
      </c>
      <c r="H9" s="421">
        <v>28038.32</v>
      </c>
      <c r="I9" s="1">
        <v>22442.31</v>
      </c>
      <c r="J9" s="421">
        <v>213595.32</v>
      </c>
      <c r="K9" s="5">
        <v>206374.53</v>
      </c>
      <c r="L9" s="421">
        <v>63807.57</v>
      </c>
      <c r="M9" s="5">
        <v>108440.6</v>
      </c>
      <c r="N9" s="345">
        <f>SUM(B9:M9)</f>
        <v>701781.99</v>
      </c>
      <c r="O9" s="1"/>
      <c r="P9" s="19"/>
    </row>
    <row r="10" spans="1:27" x14ac:dyDescent="0.2">
      <c r="A10" t="s">
        <v>32</v>
      </c>
      <c r="B10" s="338">
        <f>1249.32+23041.47+32292.56</f>
        <v>56583.350000000006</v>
      </c>
      <c r="C10" s="10">
        <v>58432.85</v>
      </c>
      <c r="D10" s="338">
        <f>874.52+1251.86+414.39+26318.8</f>
        <v>28859.57</v>
      </c>
      <c r="E10" s="10">
        <v>13706.03</v>
      </c>
      <c r="F10" s="338">
        <f>520+26247.75</f>
        <v>26767.75</v>
      </c>
      <c r="G10" s="10">
        <v>24586.94</v>
      </c>
      <c r="H10" s="338">
        <v>41285</v>
      </c>
      <c r="I10" s="2">
        <v>38172.81</v>
      </c>
      <c r="J10" s="338">
        <f>2175.45+73448.31</f>
        <v>75623.759999999995</v>
      </c>
      <c r="K10" s="10">
        <f>560.7+66363.88</f>
        <v>66924.58</v>
      </c>
      <c r="L10" s="338">
        <v>47796.42</v>
      </c>
      <c r="M10" s="10">
        <v>66694.649999999994</v>
      </c>
      <c r="N10" s="347">
        <f>SUM(B10:M10)</f>
        <v>545433.71000000008</v>
      </c>
      <c r="O10" s="2"/>
      <c r="P10" s="20"/>
    </row>
    <row r="11" spans="1:27" x14ac:dyDescent="0.2">
      <c r="A11" t="s">
        <v>14</v>
      </c>
      <c r="B11" s="430">
        <f>SUM(B8:B10)</f>
        <v>120092.70000000001</v>
      </c>
      <c r="C11" s="21">
        <f t="shared" ref="C11:N11" si="0">SUM(C8:C10)</f>
        <v>146611.9</v>
      </c>
      <c r="D11" s="430">
        <f t="shared" si="0"/>
        <v>118115.53</v>
      </c>
      <c r="E11" s="21">
        <f t="shared" si="0"/>
        <v>107668.34</v>
      </c>
      <c r="F11" s="430">
        <f t="shared" si="0"/>
        <v>115173</v>
      </c>
      <c r="G11" s="21">
        <f t="shared" si="0"/>
        <v>113587.73</v>
      </c>
      <c r="H11" s="430">
        <f t="shared" si="0"/>
        <v>137337.18</v>
      </c>
      <c r="I11" s="21">
        <f t="shared" si="0"/>
        <v>128757.15</v>
      </c>
      <c r="J11" s="430">
        <f t="shared" si="0"/>
        <v>366464.73</v>
      </c>
      <c r="K11" s="21">
        <f t="shared" si="0"/>
        <v>345083.31</v>
      </c>
      <c r="L11" s="430">
        <f t="shared" si="0"/>
        <v>194645.49</v>
      </c>
      <c r="M11" s="21">
        <f t="shared" si="0"/>
        <v>272277.87</v>
      </c>
      <c r="N11" s="434">
        <f t="shared" si="0"/>
        <v>2165814.9300000002</v>
      </c>
      <c r="O11" s="21">
        <f>'FY 2005'!H6</f>
        <v>1003522.7400000001</v>
      </c>
      <c r="P11" s="23">
        <f t="shared" ref="P11:P20" si="1">N11+O11</f>
        <v>3169337.6700000004</v>
      </c>
    </row>
    <row r="12" spans="1:27" x14ac:dyDescent="0.2">
      <c r="A12" t="s">
        <v>15</v>
      </c>
      <c r="B12" s="423">
        <f t="shared" ref="B12:G12" si="2">400000/12</f>
        <v>33333.333333333336</v>
      </c>
      <c r="C12" s="2">
        <f t="shared" si="2"/>
        <v>33333.333333333336</v>
      </c>
      <c r="D12" s="423">
        <f t="shared" si="2"/>
        <v>33333.333333333336</v>
      </c>
      <c r="E12" s="2">
        <f t="shared" si="2"/>
        <v>33333.333333333336</v>
      </c>
      <c r="F12" s="423">
        <f t="shared" si="2"/>
        <v>33333.333333333336</v>
      </c>
      <c r="G12" s="2">
        <f t="shared" si="2"/>
        <v>33333.333333333336</v>
      </c>
      <c r="H12" s="423">
        <v>33333</v>
      </c>
      <c r="I12" s="2">
        <v>33333.449999999997</v>
      </c>
      <c r="J12" s="423">
        <v>33333.449999999997</v>
      </c>
      <c r="K12" s="10">
        <v>33333.449999999997</v>
      </c>
      <c r="L12" s="338">
        <v>33333.449999999997</v>
      </c>
      <c r="M12" s="10">
        <v>33333.339999999997</v>
      </c>
      <c r="N12" s="347">
        <f>SUM(B12:M12)</f>
        <v>400000.14</v>
      </c>
      <c r="O12" s="18">
        <f>'FY 2005'!H7</f>
        <v>199999.60000000003</v>
      </c>
      <c r="P12" s="20">
        <f t="shared" si="1"/>
        <v>599999.74</v>
      </c>
    </row>
    <row r="13" spans="1:27" x14ac:dyDescent="0.2">
      <c r="A13" t="s">
        <v>0</v>
      </c>
      <c r="B13" s="422">
        <f t="shared" ref="B13:G13" si="3">SUM(B11:B12)</f>
        <v>153426.03333333335</v>
      </c>
      <c r="C13" s="1">
        <f t="shared" si="3"/>
        <v>179945.23333333334</v>
      </c>
      <c r="D13" s="422">
        <f t="shared" si="3"/>
        <v>151448.86333333334</v>
      </c>
      <c r="E13" s="1">
        <f t="shared" si="3"/>
        <v>141001.67333333334</v>
      </c>
      <c r="F13" s="422">
        <f t="shared" si="3"/>
        <v>148506.33333333334</v>
      </c>
      <c r="G13" s="1">
        <f t="shared" si="3"/>
        <v>146921.06333333332</v>
      </c>
      <c r="H13" s="422">
        <f t="shared" ref="H13:M13" si="4">SUM(H11:H12)</f>
        <v>170670.18</v>
      </c>
      <c r="I13" s="1">
        <f t="shared" si="4"/>
        <v>162090.59999999998</v>
      </c>
      <c r="J13" s="422">
        <f t="shared" si="4"/>
        <v>399798.18</v>
      </c>
      <c r="K13" s="5">
        <f t="shared" si="4"/>
        <v>378416.76</v>
      </c>
      <c r="L13" s="421">
        <f t="shared" si="4"/>
        <v>227978.94</v>
      </c>
      <c r="M13" s="5">
        <f t="shared" si="4"/>
        <v>305611.20999999996</v>
      </c>
      <c r="N13" s="345">
        <f>SUM(B13:M13)</f>
        <v>2565815.0699999998</v>
      </c>
      <c r="O13" s="11">
        <f>'FY 2005'!H8</f>
        <v>1203522.3399999999</v>
      </c>
      <c r="P13" s="19">
        <f t="shared" si="1"/>
        <v>3769337.4099999997</v>
      </c>
    </row>
    <row r="14" spans="1:27" x14ac:dyDescent="0.2">
      <c r="B14" s="422"/>
      <c r="C14" s="1"/>
      <c r="D14" s="422"/>
      <c r="F14" s="227"/>
      <c r="H14" s="422"/>
      <c r="J14" s="226"/>
      <c r="K14" s="5"/>
      <c r="L14" s="421"/>
      <c r="N14" s="273"/>
      <c r="O14" s="11"/>
      <c r="P14" s="19"/>
    </row>
    <row r="15" spans="1:27" x14ac:dyDescent="0.2">
      <c r="A15" t="s">
        <v>1</v>
      </c>
      <c r="B15" s="422"/>
      <c r="C15" s="1"/>
      <c r="D15" s="422"/>
      <c r="F15" s="227"/>
      <c r="H15" s="422"/>
      <c r="J15" s="226"/>
      <c r="K15" s="5"/>
      <c r="L15" s="421"/>
      <c r="N15" s="273"/>
      <c r="O15" s="11"/>
      <c r="P15" s="19"/>
    </row>
    <row r="16" spans="1:27" x14ac:dyDescent="0.2">
      <c r="A16" s="4" t="s">
        <v>56</v>
      </c>
      <c r="B16" s="431">
        <v>74018</v>
      </c>
      <c r="C16" s="16">
        <v>87556</v>
      </c>
      <c r="D16" s="431">
        <v>84420</v>
      </c>
      <c r="E16" s="16">
        <v>82936</v>
      </c>
      <c r="F16" s="431">
        <v>81648</v>
      </c>
      <c r="G16" s="24">
        <v>76804</v>
      </c>
      <c r="H16" s="422">
        <v>81837.88</v>
      </c>
      <c r="I16" s="1">
        <v>79046.740000000005</v>
      </c>
      <c r="J16" s="421">
        <v>96318.61</v>
      </c>
      <c r="K16" s="14">
        <v>90270.46</v>
      </c>
      <c r="L16" s="421">
        <v>101459.82</v>
      </c>
      <c r="M16" s="16">
        <v>93847.6</v>
      </c>
      <c r="N16" s="345">
        <f>SUM(B16:M16)</f>
        <v>1030163.11</v>
      </c>
      <c r="O16" s="11">
        <f>'FY 2005'!H11</f>
        <v>515732</v>
      </c>
      <c r="P16" s="19">
        <f t="shared" si="1"/>
        <v>1545895.1099999999</v>
      </c>
    </row>
    <row r="17" spans="1:16" x14ac:dyDescent="0.2">
      <c r="A17" s="4" t="s">
        <v>34</v>
      </c>
      <c r="B17" s="432">
        <v>20098</v>
      </c>
      <c r="C17" s="17">
        <v>23040</v>
      </c>
      <c r="D17" s="432">
        <v>22449</v>
      </c>
      <c r="E17" s="17">
        <v>23654</v>
      </c>
      <c r="F17" s="432">
        <v>23209</v>
      </c>
      <c r="G17" s="25">
        <v>21813</v>
      </c>
      <c r="H17" s="423">
        <v>23007.8</v>
      </c>
      <c r="I17" s="2">
        <v>32574.6</v>
      </c>
      <c r="J17" s="338">
        <v>40975.599999999999</v>
      </c>
      <c r="K17" s="15">
        <v>38415.26</v>
      </c>
      <c r="L17" s="338">
        <v>43545.78</v>
      </c>
      <c r="M17" s="17">
        <v>40342.28</v>
      </c>
      <c r="N17" s="347">
        <f>SUM(B17:M17)</f>
        <v>353124.32000000007</v>
      </c>
      <c r="O17" s="18">
        <f>'FY 2005'!H12</f>
        <v>220833</v>
      </c>
      <c r="P17" s="20">
        <f t="shared" si="1"/>
        <v>573957.32000000007</v>
      </c>
    </row>
    <row r="18" spans="1:16" x14ac:dyDescent="0.2">
      <c r="A18" t="s">
        <v>2</v>
      </c>
      <c r="B18" s="422">
        <f t="shared" ref="B18:G18" si="5">SUM(B16:B17)</f>
        <v>94116</v>
      </c>
      <c r="C18" s="1">
        <f t="shared" si="5"/>
        <v>110596</v>
      </c>
      <c r="D18" s="422">
        <f t="shared" si="5"/>
        <v>106869</v>
      </c>
      <c r="E18" s="1">
        <f t="shared" si="5"/>
        <v>106590</v>
      </c>
      <c r="F18" s="422">
        <f t="shared" si="5"/>
        <v>104857</v>
      </c>
      <c r="G18" s="1">
        <f t="shared" si="5"/>
        <v>98617</v>
      </c>
      <c r="H18" s="422">
        <f t="shared" ref="H18:M18" si="6">SUM(H16:H17)</f>
        <v>104845.68000000001</v>
      </c>
      <c r="I18" s="1">
        <f t="shared" si="6"/>
        <v>111621.34</v>
      </c>
      <c r="J18" s="422">
        <f t="shared" si="6"/>
        <v>137294.21</v>
      </c>
      <c r="K18" s="1">
        <f t="shared" si="6"/>
        <v>128685.72</v>
      </c>
      <c r="L18" s="421">
        <f t="shared" si="6"/>
        <v>145005.6</v>
      </c>
      <c r="M18" s="16">
        <f t="shared" si="6"/>
        <v>134189.88</v>
      </c>
      <c r="N18" s="345">
        <f>SUM(B18:M18)</f>
        <v>1383287.4300000002</v>
      </c>
      <c r="O18" s="11">
        <f>'FY 2005'!H13</f>
        <v>736565</v>
      </c>
      <c r="P18" s="19">
        <f t="shared" si="1"/>
        <v>2119852.4300000002</v>
      </c>
    </row>
    <row r="19" spans="1:16" x14ac:dyDescent="0.2">
      <c r="B19" s="422"/>
      <c r="C19" s="1"/>
      <c r="D19" s="422"/>
      <c r="E19" s="1"/>
      <c r="F19" s="422"/>
      <c r="G19" s="1"/>
      <c r="H19" s="422"/>
      <c r="J19" s="226"/>
      <c r="K19" s="5"/>
      <c r="L19" s="421"/>
      <c r="N19" s="273"/>
      <c r="O19" s="11"/>
      <c r="P19" s="19"/>
    </row>
    <row r="20" spans="1:16" s="8" customFormat="1" x14ac:dyDescent="0.2">
      <c r="A20" s="424" t="s">
        <v>3</v>
      </c>
      <c r="B20" s="435">
        <f t="shared" ref="B20:G20" si="7">B13-B18</f>
        <v>59310.033333333355</v>
      </c>
      <c r="C20" s="435">
        <f t="shared" si="7"/>
        <v>69349.233333333337</v>
      </c>
      <c r="D20" s="435">
        <f t="shared" si="7"/>
        <v>44579.863333333342</v>
      </c>
      <c r="E20" s="435">
        <f t="shared" si="7"/>
        <v>34411.67333333334</v>
      </c>
      <c r="F20" s="435">
        <f t="shared" si="7"/>
        <v>43649.333333333343</v>
      </c>
      <c r="G20" s="435">
        <f t="shared" si="7"/>
        <v>48304.063333333324</v>
      </c>
      <c r="H20" s="435">
        <f t="shared" ref="H20:M20" si="8">H13-H18</f>
        <v>65824.499999999985</v>
      </c>
      <c r="I20" s="435">
        <f t="shared" si="8"/>
        <v>50469.25999999998</v>
      </c>
      <c r="J20" s="435">
        <f t="shared" si="8"/>
        <v>262503.96999999997</v>
      </c>
      <c r="K20" s="435">
        <f t="shared" si="8"/>
        <v>249731.04</v>
      </c>
      <c r="L20" s="435">
        <f t="shared" si="8"/>
        <v>82973.34</v>
      </c>
      <c r="M20" s="435">
        <f t="shared" si="8"/>
        <v>171421.32999999996</v>
      </c>
      <c r="N20" s="436">
        <f>SUM(B20:M20)</f>
        <v>1182527.6400000001</v>
      </c>
      <c r="O20" s="23">
        <f>'FY 2005'!H15</f>
        <v>466957.34</v>
      </c>
      <c r="P20" s="23">
        <f t="shared" si="1"/>
        <v>1649484.9800000002</v>
      </c>
    </row>
    <row r="23" spans="1:16" x14ac:dyDescent="0.2">
      <c r="A23" s="7" t="s">
        <v>19</v>
      </c>
      <c r="B23" s="7"/>
      <c r="C23" s="7"/>
      <c r="D23" s="7"/>
      <c r="E23" s="7"/>
      <c r="F23" s="7"/>
      <c r="G23" s="7"/>
    </row>
  </sheetData>
  <phoneticPr fontId="0" type="noConversion"/>
  <pageMargins left="0.75" right="0.75" top="1" bottom="1" header="0.5" footer="0.5"/>
  <pageSetup scale="57" orientation="landscape" r:id="rId1"/>
  <headerFooter alignWithMargins="0">
    <oddFooter>&amp;L&amp;F&amp;CFY 06 Calculated Savings
Medicaid&amp;RPrepared by Sunny Israelson
&amp;D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workbookViewId="0"/>
  </sheetViews>
  <sheetFormatPr defaultRowHeight="12.75" x14ac:dyDescent="0.2"/>
  <cols>
    <col min="1" max="1" width="37.140625" customWidth="1"/>
    <col min="2" max="2" width="11.85546875" style="1" customWidth="1"/>
    <col min="3" max="3" width="10.7109375" customWidth="1"/>
    <col min="4" max="4" width="11" style="6" customWidth="1"/>
    <col min="5" max="5" width="10.7109375" style="6" customWidth="1"/>
    <col min="6" max="6" width="10.5703125" style="6" customWidth="1"/>
    <col min="7" max="7" width="9.5703125" style="6" customWidth="1"/>
    <col min="8" max="8" width="12.5703125" style="6" bestFit="1" customWidth="1"/>
    <col min="9" max="9" width="13.7109375" customWidth="1"/>
  </cols>
  <sheetData>
    <row r="1" spans="1:27" ht="18" x14ac:dyDescent="0.25">
      <c r="A1" s="152" t="s">
        <v>127</v>
      </c>
      <c r="B1" s="88"/>
      <c r="D1" s="88"/>
      <c r="E1"/>
      <c r="F1" s="88"/>
      <c r="G1"/>
      <c r="H1" s="96"/>
      <c r="J1" s="96"/>
      <c r="L1" s="88"/>
      <c r="N1" s="88"/>
      <c r="O1" s="26"/>
      <c r="P1" s="90"/>
      <c r="R1" s="96"/>
      <c r="S1" s="6"/>
      <c r="T1" s="88"/>
      <c r="U1" s="71"/>
      <c r="V1" s="88"/>
      <c r="W1" s="6"/>
      <c r="X1" s="88"/>
      <c r="Y1" s="6"/>
      <c r="Z1" s="88"/>
      <c r="AA1" s="6"/>
    </row>
    <row r="4" spans="1:27" x14ac:dyDescent="0.2">
      <c r="B4" s="421" t="s">
        <v>4</v>
      </c>
      <c r="C4" t="s">
        <v>5</v>
      </c>
      <c r="D4" s="226" t="s">
        <v>6</v>
      </c>
      <c r="E4" s="5" t="s">
        <v>7</v>
      </c>
      <c r="F4" s="226" t="s">
        <v>8</v>
      </c>
      <c r="G4" s="6" t="s">
        <v>9</v>
      </c>
      <c r="H4" s="273" t="s">
        <v>10</v>
      </c>
    </row>
    <row r="5" spans="1:27" x14ac:dyDescent="0.2">
      <c r="B5" s="421"/>
      <c r="D5" s="226"/>
      <c r="E5" s="5"/>
      <c r="F5" s="226"/>
      <c r="H5" s="273"/>
    </row>
    <row r="6" spans="1:27" x14ac:dyDescent="0.2">
      <c r="A6" t="s">
        <v>14</v>
      </c>
      <c r="B6" s="422">
        <v>183099.84</v>
      </c>
      <c r="C6" s="1">
        <v>133116.82</v>
      </c>
      <c r="D6" s="421">
        <v>164079</v>
      </c>
      <c r="E6" s="5">
        <v>184099.7</v>
      </c>
      <c r="F6" s="421">
        <v>191114.21</v>
      </c>
      <c r="G6" s="5">
        <v>148013.17000000001</v>
      </c>
      <c r="H6" s="345">
        <f>SUM(B6:G6)</f>
        <v>1003522.7400000001</v>
      </c>
    </row>
    <row r="7" spans="1:27" x14ac:dyDescent="0.2">
      <c r="A7" t="s">
        <v>15</v>
      </c>
      <c r="B7" s="423">
        <f>400000/12</f>
        <v>33333.333333333336</v>
      </c>
      <c r="C7" s="2">
        <f>400000/12</f>
        <v>33333.333333333336</v>
      </c>
      <c r="D7" s="423">
        <f>400000/12</f>
        <v>33333.333333333336</v>
      </c>
      <c r="E7" s="10">
        <v>33333.199999999997</v>
      </c>
      <c r="F7" s="338">
        <v>33333.199999999997</v>
      </c>
      <c r="G7" s="10">
        <v>33333.199999999997</v>
      </c>
      <c r="H7" s="347">
        <f>SUM(B7:G7)</f>
        <v>199999.60000000003</v>
      </c>
    </row>
    <row r="8" spans="1:27" x14ac:dyDescent="0.2">
      <c r="A8" t="s">
        <v>0</v>
      </c>
      <c r="B8" s="422">
        <f t="shared" ref="B8:G8" si="0">SUM(B6:B7)</f>
        <v>216433.17333333334</v>
      </c>
      <c r="C8" s="1">
        <f t="shared" si="0"/>
        <v>166450.15333333335</v>
      </c>
      <c r="D8" s="422">
        <f t="shared" si="0"/>
        <v>197412.33333333334</v>
      </c>
      <c r="E8" s="5">
        <f t="shared" si="0"/>
        <v>217432.90000000002</v>
      </c>
      <c r="F8" s="421">
        <f t="shared" si="0"/>
        <v>224447.40999999997</v>
      </c>
      <c r="G8" s="5">
        <f t="shared" si="0"/>
        <v>181346.37</v>
      </c>
      <c r="H8" s="345">
        <f>SUM(B8:G8)</f>
        <v>1203522.3399999999</v>
      </c>
      <c r="I8" s="12"/>
    </row>
    <row r="9" spans="1:27" x14ac:dyDescent="0.2">
      <c r="B9" s="422"/>
      <c r="D9" s="226"/>
      <c r="E9" s="5"/>
      <c r="F9" s="421"/>
      <c r="H9" s="273"/>
    </row>
    <row r="10" spans="1:27" x14ac:dyDescent="0.2">
      <c r="A10" t="s">
        <v>1</v>
      </c>
      <c r="B10" s="422"/>
      <c r="D10" s="226"/>
      <c r="E10" s="5"/>
      <c r="F10" s="421"/>
      <c r="H10" s="273"/>
    </row>
    <row r="11" spans="1:27" x14ac:dyDescent="0.2">
      <c r="A11" s="4" t="s">
        <v>57</v>
      </c>
      <c r="B11" s="422">
        <v>84224</v>
      </c>
      <c r="C11" s="1">
        <v>74200</v>
      </c>
      <c r="D11" s="421">
        <v>94430</v>
      </c>
      <c r="E11" s="14">
        <v>86786</v>
      </c>
      <c r="F11" s="421">
        <v>90356</v>
      </c>
      <c r="G11" s="16">
        <v>85736</v>
      </c>
      <c r="H11" s="345">
        <f>SUM(B11:G11)</f>
        <v>515732</v>
      </c>
      <c r="I11" s="11"/>
    </row>
    <row r="12" spans="1:27" x14ac:dyDescent="0.2">
      <c r="A12" s="4" t="s">
        <v>16</v>
      </c>
      <c r="B12" s="423">
        <v>66251</v>
      </c>
      <c r="C12" s="2">
        <v>58300</v>
      </c>
      <c r="D12" s="338">
        <v>74195</v>
      </c>
      <c r="E12" s="15">
        <v>10669</v>
      </c>
      <c r="F12" s="338">
        <v>5494</v>
      </c>
      <c r="G12" s="17">
        <v>5924</v>
      </c>
      <c r="H12" s="347">
        <f>SUM(B12:G12)</f>
        <v>220833</v>
      </c>
    </row>
    <row r="13" spans="1:27" x14ac:dyDescent="0.2">
      <c r="A13" t="s">
        <v>2</v>
      </c>
      <c r="B13" s="422">
        <f t="shared" ref="B13:G13" si="1">SUM(B11:B12)</f>
        <v>150475</v>
      </c>
      <c r="C13" s="1">
        <f t="shared" si="1"/>
        <v>132500</v>
      </c>
      <c r="D13" s="422">
        <f t="shared" si="1"/>
        <v>168625</v>
      </c>
      <c r="E13" s="1">
        <f t="shared" si="1"/>
        <v>97455</v>
      </c>
      <c r="F13" s="421">
        <f t="shared" si="1"/>
        <v>95850</v>
      </c>
      <c r="G13" s="16">
        <f t="shared" si="1"/>
        <v>91660</v>
      </c>
      <c r="H13" s="345">
        <f>SUM(B13:G13)</f>
        <v>736565</v>
      </c>
    </row>
    <row r="14" spans="1:27" x14ac:dyDescent="0.2">
      <c r="B14" s="422"/>
      <c r="D14" s="226"/>
      <c r="E14" s="5"/>
      <c r="F14" s="421"/>
      <c r="H14" s="273"/>
    </row>
    <row r="15" spans="1:27" s="8" customFormat="1" x14ac:dyDescent="0.2">
      <c r="A15" s="424" t="s">
        <v>3</v>
      </c>
      <c r="B15" s="425">
        <f t="shared" ref="B15:G15" si="2">B8-B13</f>
        <v>65958.17333333334</v>
      </c>
      <c r="C15" s="425">
        <f t="shared" si="2"/>
        <v>33950.15333333335</v>
      </c>
      <c r="D15" s="425">
        <f t="shared" si="2"/>
        <v>28787.333333333343</v>
      </c>
      <c r="E15" s="425">
        <f t="shared" si="2"/>
        <v>119977.90000000002</v>
      </c>
      <c r="F15" s="425">
        <f t="shared" si="2"/>
        <v>128597.40999999997</v>
      </c>
      <c r="G15" s="425">
        <f t="shared" si="2"/>
        <v>89686.37</v>
      </c>
      <c r="H15" s="426">
        <f>SUM(B15:G15)</f>
        <v>466957.34</v>
      </c>
      <c r="I15" s="13"/>
    </row>
    <row r="16" spans="1:27" x14ac:dyDescent="0.2">
      <c r="H16" s="273"/>
    </row>
    <row r="17" spans="1:8" x14ac:dyDescent="0.2">
      <c r="A17" t="s">
        <v>17</v>
      </c>
      <c r="H17" s="427">
        <v>307500</v>
      </c>
    </row>
    <row r="18" spans="1:8" x14ac:dyDescent="0.2">
      <c r="H18" s="273"/>
    </row>
    <row r="19" spans="1:8" x14ac:dyDescent="0.2">
      <c r="A19" t="s">
        <v>18</v>
      </c>
      <c r="B19" s="3"/>
      <c r="H19" s="428">
        <f>(H15-H17)/H17</f>
        <v>0.51856045528455297</v>
      </c>
    </row>
    <row r="23" spans="1:8" x14ac:dyDescent="0.2">
      <c r="A23" s="7" t="s">
        <v>11</v>
      </c>
    </row>
    <row r="24" spans="1:8" x14ac:dyDescent="0.2">
      <c r="A24" s="7" t="s">
        <v>12</v>
      </c>
    </row>
  </sheetData>
  <phoneticPr fontId="0" type="noConversion"/>
  <pageMargins left="0.75" right="0.75" top="1" bottom="1" header="0.5" footer="0.5"/>
  <pageSetup orientation="landscape" r:id="rId1"/>
  <headerFooter alignWithMargins="0">
    <oddFooter xml:space="preserve">&amp;L&amp;F&amp;CFY 05 Calculated Savings
Medicaid
&amp;RPrepared by Kim Garnero
&amp;D
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zoomScaleNormal="100" workbookViewId="0">
      <pane xSplit="1" topLeftCell="B1" activePane="topRight" state="frozen"/>
      <selection pane="topRight"/>
    </sheetView>
  </sheetViews>
  <sheetFormatPr defaultRowHeight="12.75" x14ac:dyDescent="0.2"/>
  <cols>
    <col min="1" max="1" width="36.140625" style="203" customWidth="1"/>
    <col min="2" max="2" width="5.7109375" style="88" customWidth="1"/>
    <col min="3" max="3" width="11.5703125" customWidth="1"/>
    <col min="4" max="4" width="5.7109375" style="88" customWidth="1"/>
    <col min="5" max="5" width="11.5703125" customWidth="1"/>
    <col min="6" max="6" width="5.7109375" style="88" customWidth="1"/>
    <col min="7" max="7" width="11.5703125" customWidth="1"/>
    <col min="8" max="8" width="5.7109375" style="96" customWidth="1"/>
    <col min="9" max="9" width="11.5703125" customWidth="1"/>
    <col min="10" max="10" width="5.7109375" style="96" customWidth="1"/>
    <col min="11" max="11" width="11.5703125" customWidth="1"/>
    <col min="12" max="12" width="5.7109375" style="88" customWidth="1"/>
    <col min="13" max="13" width="11.5703125" customWidth="1"/>
    <col min="14" max="14" width="5.7109375" style="88" customWidth="1"/>
    <col min="15" max="15" width="11.5703125" style="26" customWidth="1"/>
    <col min="16" max="16" width="5.7109375" style="90" customWidth="1"/>
    <col min="17" max="17" width="11.5703125" customWidth="1"/>
    <col min="18" max="18" width="5.7109375" style="96" customWidth="1"/>
    <col min="19" max="19" width="11.5703125" style="6" customWidth="1"/>
    <col min="20" max="20" width="5.7109375" style="88" customWidth="1"/>
    <col min="21" max="21" width="11.5703125" style="71" customWidth="1"/>
    <col min="22" max="22" width="6.140625" style="88" customWidth="1"/>
    <col min="23" max="23" width="11.5703125" style="6" customWidth="1"/>
    <col min="24" max="24" width="5.7109375" style="88" customWidth="1"/>
    <col min="25" max="25" width="11.5703125" style="6" customWidth="1"/>
    <col min="26" max="26" width="8.5703125" style="88" customWidth="1"/>
    <col min="27" max="27" width="14" style="6" bestFit="1" customWidth="1"/>
    <col min="28" max="28" width="10.5703125" bestFit="1" customWidth="1"/>
    <col min="29" max="29" width="15" bestFit="1" customWidth="1"/>
  </cols>
  <sheetData>
    <row r="1" spans="1:31" ht="18" x14ac:dyDescent="0.2">
      <c r="A1" s="543" t="s">
        <v>156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</row>
    <row r="2" spans="1:31" s="6" customFormat="1" x14ac:dyDescent="0.2">
      <c r="B2" s="489"/>
      <c r="C2" s="490" t="s">
        <v>21</v>
      </c>
      <c r="D2" s="88"/>
      <c r="E2" s="268" t="s">
        <v>22</v>
      </c>
      <c r="F2" s="489"/>
      <c r="G2" s="490" t="s">
        <v>23</v>
      </c>
      <c r="H2" s="88"/>
      <c r="I2" s="268" t="s">
        <v>24</v>
      </c>
      <c r="J2" s="489"/>
      <c r="K2" s="490" t="s">
        <v>25</v>
      </c>
      <c r="L2" s="88"/>
      <c r="M2" s="268" t="s">
        <v>20</v>
      </c>
      <c r="N2" s="489"/>
      <c r="O2" s="525" t="s">
        <v>4</v>
      </c>
      <c r="P2" s="90"/>
      <c r="Q2" s="268" t="s">
        <v>5</v>
      </c>
      <c r="R2" s="489"/>
      <c r="S2" s="490" t="s">
        <v>6</v>
      </c>
      <c r="T2" s="88"/>
      <c r="U2" s="269" t="s">
        <v>7</v>
      </c>
      <c r="V2" s="489"/>
      <c r="W2" s="490" t="s">
        <v>8</v>
      </c>
      <c r="X2" s="88"/>
      <c r="Y2" s="268" t="s">
        <v>9</v>
      </c>
      <c r="Z2" s="272" t="s">
        <v>29</v>
      </c>
      <c r="AA2" s="273" t="s">
        <v>29</v>
      </c>
    </row>
    <row r="3" spans="1:31" x14ac:dyDescent="0.2">
      <c r="B3" s="489" t="s">
        <v>38</v>
      </c>
      <c r="C3" s="490" t="s">
        <v>65</v>
      </c>
      <c r="D3" s="88" t="s">
        <v>38</v>
      </c>
      <c r="E3" s="268" t="s">
        <v>65</v>
      </c>
      <c r="F3" s="489" t="s">
        <v>38</v>
      </c>
      <c r="G3" s="490" t="s">
        <v>65</v>
      </c>
      <c r="H3" s="88" t="s">
        <v>38</v>
      </c>
      <c r="I3" s="268" t="s">
        <v>65</v>
      </c>
      <c r="J3" s="489" t="s">
        <v>38</v>
      </c>
      <c r="K3" s="490" t="s">
        <v>65</v>
      </c>
      <c r="L3" s="88" t="s">
        <v>38</v>
      </c>
      <c r="M3" s="268" t="s">
        <v>65</v>
      </c>
      <c r="N3" s="489" t="s">
        <v>38</v>
      </c>
      <c r="O3" s="525" t="s">
        <v>65</v>
      </c>
      <c r="P3" s="88" t="s">
        <v>38</v>
      </c>
      <c r="Q3" s="267" t="s">
        <v>65</v>
      </c>
      <c r="R3" s="489" t="s">
        <v>38</v>
      </c>
      <c r="S3" s="490" t="s">
        <v>65</v>
      </c>
      <c r="T3" s="88" t="s">
        <v>38</v>
      </c>
      <c r="U3" s="270" t="s">
        <v>65</v>
      </c>
      <c r="V3" s="489" t="s">
        <v>38</v>
      </c>
      <c r="W3" s="490" t="s">
        <v>65</v>
      </c>
      <c r="X3" s="88" t="s">
        <v>38</v>
      </c>
      <c r="Y3" s="268" t="s">
        <v>65</v>
      </c>
      <c r="Z3" s="272" t="s">
        <v>38</v>
      </c>
      <c r="AA3" s="274" t="s">
        <v>52</v>
      </c>
    </row>
    <row r="4" spans="1:31" x14ac:dyDescent="0.2">
      <c r="A4" s="169" t="s">
        <v>60</v>
      </c>
      <c r="B4" s="489"/>
      <c r="C4" s="491"/>
      <c r="D4" s="90"/>
      <c r="E4" s="26"/>
      <c r="F4" s="514"/>
      <c r="G4" s="515"/>
      <c r="H4" s="98"/>
      <c r="J4" s="523"/>
      <c r="K4" s="491"/>
      <c r="N4" s="489"/>
      <c r="O4" s="515"/>
      <c r="R4" s="523"/>
      <c r="S4" s="530"/>
      <c r="U4" s="77"/>
      <c r="V4" s="514"/>
      <c r="W4" s="531"/>
      <c r="X4" s="90"/>
      <c r="Z4" s="272"/>
      <c r="AA4" s="273"/>
    </row>
    <row r="5" spans="1:31" s="176" customFormat="1" ht="13.5" thickBot="1" x14ac:dyDescent="0.25">
      <c r="A5" s="169" t="s">
        <v>136</v>
      </c>
      <c r="B5" s="492">
        <v>7023</v>
      </c>
      <c r="C5" s="493"/>
      <c r="D5" s="177">
        <v>7021</v>
      </c>
      <c r="E5" s="178"/>
      <c r="F5" s="516">
        <v>7343</v>
      </c>
      <c r="G5" s="495"/>
      <c r="H5" s="177">
        <v>7628</v>
      </c>
      <c r="J5" s="492">
        <v>6501</v>
      </c>
      <c r="K5" s="493"/>
      <c r="L5" s="175">
        <v>6811</v>
      </c>
      <c r="N5" s="492">
        <v>7311</v>
      </c>
      <c r="O5" s="493"/>
      <c r="P5" s="175">
        <v>7638</v>
      </c>
      <c r="R5" s="492">
        <v>8355</v>
      </c>
      <c r="S5" s="493"/>
      <c r="T5" s="175">
        <v>8495</v>
      </c>
      <c r="V5" s="492">
        <v>8301</v>
      </c>
      <c r="W5" s="493"/>
      <c r="X5" s="175">
        <v>8562</v>
      </c>
      <c r="Z5" s="275">
        <f>B5+D5+F5+H5+J5+L5+N5+P5+R5+T5+V5+X5</f>
        <v>90989</v>
      </c>
      <c r="AA5" s="276"/>
    </row>
    <row r="6" spans="1:31" s="176" customFormat="1" ht="13.5" thickTop="1" x14ac:dyDescent="0.2">
      <c r="A6" s="470" t="s">
        <v>142</v>
      </c>
      <c r="B6" s="494"/>
      <c r="C6" s="495">
        <v>150742.48000000001</v>
      </c>
      <c r="D6" s="174"/>
      <c r="E6" s="180">
        <v>131923.73000000001</v>
      </c>
      <c r="F6" s="517"/>
      <c r="G6" s="518">
        <v>137565.60999999999</v>
      </c>
      <c r="H6" s="174"/>
      <c r="I6" s="180">
        <v>142354.48000000001</v>
      </c>
      <c r="J6" s="517"/>
      <c r="K6" s="518">
        <v>121181.98</v>
      </c>
      <c r="L6" s="174"/>
      <c r="M6" s="66">
        <v>127392.58</v>
      </c>
      <c r="N6" s="494"/>
      <c r="O6" s="495">
        <v>137216.62</v>
      </c>
      <c r="P6" s="174"/>
      <c r="Q6" s="178">
        <v>142821.17000000001</v>
      </c>
      <c r="R6" s="517"/>
      <c r="S6" s="495">
        <v>156144.66</v>
      </c>
      <c r="T6" s="174"/>
      <c r="U6" s="178">
        <v>158054.17000000001</v>
      </c>
      <c r="V6" s="517"/>
      <c r="W6" s="495">
        <v>155472.01999999999</v>
      </c>
      <c r="X6" s="174"/>
      <c r="Y6" s="181">
        <v>154549.84</v>
      </c>
      <c r="Z6" s="277"/>
      <c r="AA6" s="280">
        <f>SUM(C6:Y6)</f>
        <v>1715419.3399999999</v>
      </c>
    </row>
    <row r="7" spans="1:31" s="176" customFormat="1" x14ac:dyDescent="0.2">
      <c r="A7" s="542" t="s">
        <v>157</v>
      </c>
      <c r="B7" s="496"/>
      <c r="C7" s="497">
        <v>6969.5</v>
      </c>
      <c r="D7" s="184"/>
      <c r="E7" s="183">
        <v>6991</v>
      </c>
      <c r="F7" s="519"/>
      <c r="G7" s="497">
        <v>7311</v>
      </c>
      <c r="H7" s="184"/>
      <c r="I7" s="183">
        <v>7564</v>
      </c>
      <c r="J7" s="519"/>
      <c r="K7" s="497">
        <v>6439</v>
      </c>
      <c r="L7" s="184"/>
      <c r="M7" s="67">
        <v>6769</v>
      </c>
      <c r="N7" s="496"/>
      <c r="O7" s="526">
        <v>7291</v>
      </c>
      <c r="P7" s="184"/>
      <c r="Q7" s="185">
        <v>7590</v>
      </c>
      <c r="R7" s="519"/>
      <c r="S7" s="526">
        <v>8297</v>
      </c>
      <c r="T7" s="184"/>
      <c r="U7" s="185">
        <v>8397</v>
      </c>
      <c r="V7" s="519"/>
      <c r="W7" s="526">
        <v>8300.64</v>
      </c>
      <c r="X7" s="184"/>
      <c r="Y7" s="183">
        <v>8212</v>
      </c>
      <c r="Z7" s="279"/>
      <c r="AA7" s="280">
        <f>SUM(C7:Y7)</f>
        <v>90131.14</v>
      </c>
    </row>
    <row r="8" spans="1:31" s="176" customFormat="1" x14ac:dyDescent="0.2">
      <c r="A8" s="169" t="s">
        <v>62</v>
      </c>
      <c r="B8" s="498"/>
      <c r="C8" s="499">
        <f>C6+C7</f>
        <v>157711.98000000001</v>
      </c>
      <c r="D8" s="220"/>
      <c r="E8" s="462">
        <f>E6+E7</f>
        <v>138914.73000000001</v>
      </c>
      <c r="F8" s="520"/>
      <c r="G8" s="499">
        <f>G6+G7</f>
        <v>144876.60999999999</v>
      </c>
      <c r="H8" s="220"/>
      <c r="I8" s="462">
        <f>I6+I7</f>
        <v>149918.48000000001</v>
      </c>
      <c r="J8" s="520"/>
      <c r="K8" s="499">
        <f>K6+K7</f>
        <v>127620.98</v>
      </c>
      <c r="L8" s="220"/>
      <c r="M8" s="462">
        <f>M6+M7</f>
        <v>134161.58000000002</v>
      </c>
      <c r="N8" s="520"/>
      <c r="O8" s="499">
        <f>O6+O7</f>
        <v>144507.62</v>
      </c>
      <c r="P8" s="220"/>
      <c r="Q8" s="462">
        <f>Q6+Q7</f>
        <v>150411.17000000001</v>
      </c>
      <c r="R8" s="520"/>
      <c r="S8" s="499">
        <f>S6+S7</f>
        <v>164441.66</v>
      </c>
      <c r="T8" s="220"/>
      <c r="U8" s="462">
        <f>U6+U7</f>
        <v>166451.17000000001</v>
      </c>
      <c r="V8" s="520"/>
      <c r="W8" s="499">
        <f>W6+W7</f>
        <v>163772.65999999997</v>
      </c>
      <c r="X8" s="220"/>
      <c r="Y8" s="462">
        <f>Y6+Y7</f>
        <v>162761.84</v>
      </c>
      <c r="Z8" s="281"/>
      <c r="AA8" s="293">
        <f>SUM(C8,E8,G8,I8,K8,M8,O8,Q8,S8,U8,W8,Y8)</f>
        <v>1805550.48</v>
      </c>
      <c r="AB8" s="484"/>
      <c r="AC8" s="484"/>
    </row>
    <row r="9" spans="1:31" s="176" customFormat="1" x14ac:dyDescent="0.2">
      <c r="A9" s="203"/>
      <c r="B9" s="494"/>
      <c r="C9" s="495"/>
      <c r="D9" s="179"/>
      <c r="F9" s="494"/>
      <c r="G9" s="493"/>
      <c r="H9" s="179"/>
      <c r="J9" s="494"/>
      <c r="K9" s="493"/>
      <c r="L9" s="179"/>
      <c r="N9" s="494"/>
      <c r="O9" s="527"/>
      <c r="P9" s="188"/>
      <c r="R9" s="494"/>
      <c r="S9" s="493"/>
      <c r="T9" s="179"/>
      <c r="U9" s="189"/>
      <c r="V9" s="532"/>
      <c r="W9" s="493"/>
      <c r="X9" s="179"/>
      <c r="Z9" s="277"/>
      <c r="AA9" s="276"/>
    </row>
    <row r="10" spans="1:31" s="190" customFormat="1" x14ac:dyDescent="0.2">
      <c r="A10" s="205" t="s">
        <v>129</v>
      </c>
      <c r="B10" s="500"/>
      <c r="C10" s="501"/>
      <c r="D10" s="173"/>
      <c r="F10" s="517"/>
      <c r="G10" s="521"/>
      <c r="H10" s="173"/>
      <c r="J10" s="524"/>
      <c r="K10" s="521"/>
      <c r="L10" s="173"/>
      <c r="N10" s="524"/>
      <c r="O10" s="528"/>
      <c r="P10" s="172"/>
      <c r="R10" s="524"/>
      <c r="S10" s="521"/>
      <c r="T10" s="173"/>
      <c r="U10" s="191"/>
      <c r="V10" s="500"/>
      <c r="W10" s="528"/>
      <c r="X10" s="173"/>
      <c r="Z10" s="283"/>
      <c r="AA10" s="284"/>
      <c r="AB10" s="545"/>
      <c r="AC10" s="545"/>
    </row>
    <row r="11" spans="1:31" s="224" customFormat="1" x14ac:dyDescent="0.2">
      <c r="A11" s="471" t="s">
        <v>139</v>
      </c>
      <c r="B11" s="502">
        <v>2252</v>
      </c>
      <c r="C11" s="503">
        <v>88867.93</v>
      </c>
      <c r="D11" s="172">
        <v>2263</v>
      </c>
      <c r="E11" s="444">
        <v>86966.97</v>
      </c>
      <c r="F11" s="502">
        <v>2025</v>
      </c>
      <c r="G11" s="503">
        <v>77741.62</v>
      </c>
      <c r="H11" s="224">
        <v>2487</v>
      </c>
      <c r="I11" s="223">
        <v>97920.01</v>
      </c>
      <c r="J11" s="502">
        <v>2124</v>
      </c>
      <c r="K11" s="503">
        <v>80969.02</v>
      </c>
      <c r="L11" s="224">
        <v>2272</v>
      </c>
      <c r="M11" s="223">
        <v>84383.39</v>
      </c>
      <c r="N11" s="502">
        <v>2317</v>
      </c>
      <c r="O11" s="503">
        <v>102765.14</v>
      </c>
      <c r="P11" s="224">
        <v>2467</v>
      </c>
      <c r="Q11" s="223">
        <v>105569.72</v>
      </c>
      <c r="R11" s="502">
        <v>2594</v>
      </c>
      <c r="S11" s="503">
        <v>110748.96</v>
      </c>
      <c r="T11" s="224">
        <v>2798</v>
      </c>
      <c r="U11" s="223">
        <v>115717.47</v>
      </c>
      <c r="V11" s="502">
        <v>2555</v>
      </c>
      <c r="W11" s="503">
        <v>116344.08</v>
      </c>
      <c r="X11" s="224">
        <v>2890</v>
      </c>
      <c r="Y11" s="223">
        <v>133256.76</v>
      </c>
      <c r="Z11" s="285">
        <f>SUM(B11+D11+F11+H11+J11+L11+N11+P11+R11+T11+V11+X11)</f>
        <v>29044</v>
      </c>
      <c r="AA11" s="286">
        <f>SUM(C11,E11,G11,I11,K11,M11,O11,Q11,S11,U11,W11,Y11)</f>
        <v>1201251.0699999998</v>
      </c>
      <c r="AB11" s="172"/>
      <c r="AC11" s="544"/>
      <c r="AD11" s="442"/>
      <c r="AE11" s="442"/>
    </row>
    <row r="12" spans="1:31" s="224" customFormat="1" x14ac:dyDescent="0.2">
      <c r="A12" s="471" t="s">
        <v>140</v>
      </c>
      <c r="B12" s="502">
        <v>15</v>
      </c>
      <c r="C12" s="503">
        <v>1440.96</v>
      </c>
      <c r="D12" s="172">
        <v>14</v>
      </c>
      <c r="E12" s="444">
        <v>1897.55</v>
      </c>
      <c r="F12" s="502">
        <v>11</v>
      </c>
      <c r="G12" s="503">
        <v>1883.8</v>
      </c>
      <c r="H12" s="224">
        <v>10</v>
      </c>
      <c r="I12" s="445">
        <v>2079.84</v>
      </c>
      <c r="J12" s="502">
        <v>10</v>
      </c>
      <c r="K12" s="503">
        <v>979.71</v>
      </c>
      <c r="L12" s="224">
        <v>12</v>
      </c>
      <c r="M12" s="223">
        <v>1008.38</v>
      </c>
      <c r="N12" s="502">
        <v>9</v>
      </c>
      <c r="O12" s="503">
        <v>1299.8499999999999</v>
      </c>
      <c r="P12" s="224">
        <v>14</v>
      </c>
      <c r="Q12" s="223">
        <v>1185.98</v>
      </c>
      <c r="R12" s="502">
        <v>15</v>
      </c>
      <c r="S12" s="503">
        <v>2305.39</v>
      </c>
      <c r="T12" s="224">
        <v>12</v>
      </c>
      <c r="U12" s="223">
        <v>2054.9</v>
      </c>
      <c r="V12" s="502">
        <v>12</v>
      </c>
      <c r="W12" s="503">
        <v>2791.51</v>
      </c>
      <c r="X12" s="224">
        <v>8</v>
      </c>
      <c r="Y12" s="223">
        <v>1817.12</v>
      </c>
      <c r="Z12" s="285">
        <f>SUM(B12+D12+F12+H12+J12+L12+N12+P12+R12+T12+V12+X12)</f>
        <v>142</v>
      </c>
      <c r="AA12" s="286">
        <f>SUM(C12,E12,G12,I12,K12,M12,O12,Q12,S12,U12,W12,Y12)</f>
        <v>20744.989999999998</v>
      </c>
      <c r="AB12" s="172"/>
      <c r="AC12" s="544"/>
    </row>
    <row r="13" spans="1:31" s="224" customFormat="1" x14ac:dyDescent="0.2">
      <c r="A13" s="471" t="s">
        <v>146</v>
      </c>
      <c r="B13" s="502">
        <v>2472</v>
      </c>
      <c r="C13" s="503">
        <v>56907.01</v>
      </c>
      <c r="D13" s="172">
        <v>2607</v>
      </c>
      <c r="E13" s="444">
        <v>58591.87</v>
      </c>
      <c r="F13" s="502">
        <v>2413</v>
      </c>
      <c r="G13" s="503">
        <v>61839.87</v>
      </c>
      <c r="H13" s="224">
        <v>2345</v>
      </c>
      <c r="I13" s="223">
        <v>67558.210000000006</v>
      </c>
      <c r="J13" s="502">
        <v>2001</v>
      </c>
      <c r="K13" s="503">
        <v>60423.01</v>
      </c>
      <c r="L13" s="224">
        <v>1683</v>
      </c>
      <c r="M13" s="223">
        <v>31893.200000000001</v>
      </c>
      <c r="N13" s="502">
        <v>2255</v>
      </c>
      <c r="O13" s="503">
        <v>42427.8</v>
      </c>
      <c r="P13" s="224">
        <v>2378</v>
      </c>
      <c r="Q13" s="223">
        <v>42310.2</v>
      </c>
      <c r="R13" s="502">
        <v>2852</v>
      </c>
      <c r="S13" s="503">
        <v>41224.699999999997</v>
      </c>
      <c r="T13" s="224">
        <v>2486</v>
      </c>
      <c r="U13" s="223">
        <v>58221.82</v>
      </c>
      <c r="V13" s="502">
        <v>2500</v>
      </c>
      <c r="W13" s="503">
        <v>54345.11</v>
      </c>
      <c r="X13" s="224">
        <v>2710</v>
      </c>
      <c r="Y13" s="223">
        <v>61447.11</v>
      </c>
      <c r="Z13" s="285">
        <f>SUM(B13+D13+F13+H13+J13+L13+N13+P13+R13+T13+V13+X13)</f>
        <v>28702</v>
      </c>
      <c r="AA13" s="286">
        <f>SUM(C13,E13,G13,I13,K13,M13,O13,Q13,S13,U13,W13,Y13)</f>
        <v>637189.91</v>
      </c>
      <c r="AB13" s="172"/>
      <c r="AC13" s="544"/>
    </row>
    <row r="14" spans="1:31" s="176" customFormat="1" x14ac:dyDescent="0.2">
      <c r="A14" s="470" t="s">
        <v>141</v>
      </c>
      <c r="B14" s="496">
        <v>2291</v>
      </c>
      <c r="C14" s="495">
        <v>15429</v>
      </c>
      <c r="D14" s="182">
        <v>2213</v>
      </c>
      <c r="E14" s="178">
        <v>16355</v>
      </c>
      <c r="F14" s="496">
        <v>2632</v>
      </c>
      <c r="G14" s="495">
        <v>17614</v>
      </c>
      <c r="H14" s="182">
        <v>2364</v>
      </c>
      <c r="I14" s="178">
        <v>15818</v>
      </c>
      <c r="J14" s="496">
        <v>2279</v>
      </c>
      <c r="K14" s="495">
        <v>13648</v>
      </c>
      <c r="L14" s="182">
        <v>2308</v>
      </c>
      <c r="M14" s="178">
        <v>2546</v>
      </c>
      <c r="N14" s="496">
        <v>2468</v>
      </c>
      <c r="O14" s="495">
        <v>1334</v>
      </c>
      <c r="P14" s="182">
        <v>2306</v>
      </c>
      <c r="Q14" s="178">
        <v>2659</v>
      </c>
      <c r="R14" s="496">
        <v>2283</v>
      </c>
      <c r="S14" s="495">
        <v>2066</v>
      </c>
      <c r="T14" s="182">
        <v>2641</v>
      </c>
      <c r="U14" s="178">
        <v>9077</v>
      </c>
      <c r="V14" s="496">
        <v>-1094</v>
      </c>
      <c r="W14" s="495">
        <v>-4495</v>
      </c>
      <c r="X14" s="182">
        <v>1708</v>
      </c>
      <c r="Y14" s="178">
        <v>6038</v>
      </c>
      <c r="Z14" s="285">
        <f>SUM(B14+D14+F14+H14+J14+L14+N14+P14+R14+T14+V14+X14)</f>
        <v>24399</v>
      </c>
      <c r="AA14" s="286">
        <f>SUM(C14,E14,G14,I14,K14,M14,O14,Q14,S14,U14,W14,Y14)</f>
        <v>98089</v>
      </c>
      <c r="AB14" s="546"/>
      <c r="AC14" s="546"/>
      <c r="AD14" s="203"/>
    </row>
    <row r="15" spans="1:31" s="176" customFormat="1" ht="25.5" x14ac:dyDescent="0.2">
      <c r="A15" s="486" t="s">
        <v>151</v>
      </c>
      <c r="B15" s="504">
        <f>SUM(B11:B14)</f>
        <v>7030</v>
      </c>
      <c r="C15" s="505">
        <f>SUM(C11:C14)</f>
        <v>162644.9</v>
      </c>
      <c r="D15" s="465">
        <f>SUM(D11:D14)</f>
        <v>7097</v>
      </c>
      <c r="E15" s="466">
        <f>SUM(E11:E14)</f>
        <v>163811.39000000001</v>
      </c>
      <c r="F15" s="504">
        <f>SUM(F11:F14)</f>
        <v>7081</v>
      </c>
      <c r="G15" s="505">
        <f t="shared" ref="G15:Y15" si="0">SUM(G11:G14)</f>
        <v>159079.29</v>
      </c>
      <c r="H15" s="467">
        <f>SUM(H11:H14)</f>
        <v>7206</v>
      </c>
      <c r="I15" s="466">
        <f t="shared" si="0"/>
        <v>183376.06</v>
      </c>
      <c r="J15" s="504">
        <f>SUM(J11:J14)</f>
        <v>6414</v>
      </c>
      <c r="K15" s="505">
        <f t="shared" si="0"/>
        <v>156019.74000000002</v>
      </c>
      <c r="L15" s="467">
        <f>SUM(L11:L14)</f>
        <v>6275</v>
      </c>
      <c r="M15" s="466">
        <f t="shared" si="0"/>
        <v>119830.97</v>
      </c>
      <c r="N15" s="504">
        <f>SUM(N11:N14)</f>
        <v>7049</v>
      </c>
      <c r="O15" s="505">
        <f t="shared" si="0"/>
        <v>147826.79</v>
      </c>
      <c r="P15" s="467">
        <f>SUM(P11:P14)</f>
        <v>7165</v>
      </c>
      <c r="Q15" s="466">
        <f t="shared" si="0"/>
        <v>151724.9</v>
      </c>
      <c r="R15" s="504">
        <f>SUM(R11:R14)</f>
        <v>7744</v>
      </c>
      <c r="S15" s="505">
        <f t="shared" si="0"/>
        <v>156345.04999999999</v>
      </c>
      <c r="T15" s="467">
        <f>SUM(T11:T14)</f>
        <v>7937</v>
      </c>
      <c r="U15" s="466">
        <f t="shared" si="0"/>
        <v>185071.19</v>
      </c>
      <c r="V15" s="504">
        <f>SUM(V11:V14)</f>
        <v>3973</v>
      </c>
      <c r="W15" s="505">
        <f t="shared" si="0"/>
        <v>168985.7</v>
      </c>
      <c r="X15" s="467">
        <f>SUM(X11:X14)</f>
        <v>7316</v>
      </c>
      <c r="Y15" s="466">
        <f t="shared" si="0"/>
        <v>202558.99</v>
      </c>
      <c r="Z15" s="468">
        <f>B15+D15+F15+H15+J15+L15+N15+P15+R15+T15+V15+X15</f>
        <v>82287</v>
      </c>
      <c r="AA15" s="469">
        <f>SUM(C15,E15,G15,I15,K15,M15,O15,Q15,S15,U15,W15,Y15)</f>
        <v>1957274.97</v>
      </c>
      <c r="AB15" s="312"/>
      <c r="AC15" s="179"/>
      <c r="AD15" s="306"/>
    </row>
    <row r="16" spans="1:31" s="176" customFormat="1" x14ac:dyDescent="0.2">
      <c r="A16" s="452"/>
      <c r="B16" s="498"/>
      <c r="C16" s="506"/>
      <c r="D16" s="209"/>
      <c r="E16" s="453"/>
      <c r="F16" s="498"/>
      <c r="G16" s="506"/>
      <c r="H16" s="209"/>
      <c r="I16" s="195"/>
      <c r="J16" s="498"/>
      <c r="K16" s="506"/>
      <c r="L16" s="209"/>
      <c r="M16" s="195"/>
      <c r="N16" s="498"/>
      <c r="O16" s="506"/>
      <c r="P16" s="209"/>
      <c r="Q16" s="195"/>
      <c r="R16" s="498"/>
      <c r="S16" s="506"/>
      <c r="T16" s="209"/>
      <c r="U16" s="195"/>
      <c r="V16" s="498"/>
      <c r="W16" s="506"/>
      <c r="X16" s="209"/>
      <c r="Y16" s="453"/>
      <c r="Z16" s="454"/>
      <c r="AA16" s="455"/>
      <c r="AB16" s="312"/>
      <c r="AC16" s="179"/>
      <c r="AD16" s="306"/>
    </row>
    <row r="17" spans="1:30" s="458" customFormat="1" x14ac:dyDescent="0.2">
      <c r="A17" s="470" t="s">
        <v>145</v>
      </c>
      <c r="B17" s="507"/>
      <c r="C17" s="495">
        <f>75184*10/12</f>
        <v>62653.333333333336</v>
      </c>
      <c r="E17" s="473">
        <f>75184*10/12</f>
        <v>62653.333333333336</v>
      </c>
      <c r="F17" s="507"/>
      <c r="G17" s="495">
        <f>75184*10/12</f>
        <v>62653.333333333336</v>
      </c>
      <c r="I17" s="473">
        <f>75184*10/12</f>
        <v>62653.333333333336</v>
      </c>
      <c r="J17" s="507"/>
      <c r="K17" s="495">
        <f>75184*10/12</f>
        <v>62653.333333333336</v>
      </c>
      <c r="M17" s="473">
        <f>75184*10/12</f>
        <v>62653.333333333336</v>
      </c>
      <c r="N17" s="507"/>
      <c r="O17" s="495">
        <f>75184*10/12</f>
        <v>62653.333333333336</v>
      </c>
      <c r="Q17" s="473">
        <f>75184*10/12</f>
        <v>62653.333333333336</v>
      </c>
      <c r="R17" s="507"/>
      <c r="S17" s="495">
        <f>75184*10/12</f>
        <v>62653.333333333336</v>
      </c>
      <c r="U17" s="473">
        <f>75184*10/12</f>
        <v>62653.333333333336</v>
      </c>
      <c r="V17" s="507"/>
      <c r="W17" s="495">
        <f>75184*10/12</f>
        <v>62653.333333333336</v>
      </c>
      <c r="Y17" s="473">
        <f>75184*10/12</f>
        <v>62653.333333333336</v>
      </c>
      <c r="Z17" s="459"/>
      <c r="AA17" s="286">
        <f>SUM(C17,E17,G17,I17,K17,M17,O17,Q17,S17,U17,W17,Y17)</f>
        <v>751840.00000000012</v>
      </c>
    </row>
    <row r="18" spans="1:30" s="464" customFormat="1" ht="13.5" thickBot="1" x14ac:dyDescent="0.25">
      <c r="A18" s="463" t="s">
        <v>138</v>
      </c>
      <c r="B18" s="508"/>
      <c r="C18" s="509">
        <f>SUM(C15:C17)</f>
        <v>225298.23333333334</v>
      </c>
      <c r="D18" s="456"/>
      <c r="E18" s="460">
        <f>SUM(E15:E17)</f>
        <v>226464.72333333336</v>
      </c>
      <c r="F18" s="522"/>
      <c r="G18" s="509">
        <f>SUM(G15:G17)</f>
        <v>221732.62333333335</v>
      </c>
      <c r="H18" s="456"/>
      <c r="I18" s="460">
        <f>SUM(I15:I17)</f>
        <v>246029.39333333334</v>
      </c>
      <c r="J18" s="522"/>
      <c r="K18" s="509">
        <f>SUM(K15:K17)</f>
        <v>218673.07333333336</v>
      </c>
      <c r="L18" s="456"/>
      <c r="M18" s="460">
        <f>SUM(M15:M17)</f>
        <v>182484.30333333334</v>
      </c>
      <c r="N18" s="522"/>
      <c r="O18" s="509">
        <f>SUM(O15:O17)</f>
        <v>210480.12333333335</v>
      </c>
      <c r="P18" s="456"/>
      <c r="Q18" s="460">
        <f>SUM(Q15:Q17)</f>
        <v>214378.23333333334</v>
      </c>
      <c r="R18" s="522"/>
      <c r="S18" s="509">
        <f>SUM(S15:S17)</f>
        <v>218998.38333333333</v>
      </c>
      <c r="T18" s="456"/>
      <c r="U18" s="460">
        <f>SUM(U15:U17)</f>
        <v>247724.52333333335</v>
      </c>
      <c r="V18" s="522"/>
      <c r="W18" s="509">
        <f>SUM(W15:W17)</f>
        <v>231639.03333333335</v>
      </c>
      <c r="X18" s="456"/>
      <c r="Y18" s="460">
        <f>SUM(Y15:Y17)</f>
        <v>265212.3233333333</v>
      </c>
      <c r="Z18" s="457"/>
      <c r="AA18" s="461">
        <f>SUM(C18,E18,G18,I18,K18,M18,O18,Q18,S18,U18,W18,Y18)</f>
        <v>2709114.9699999997</v>
      </c>
    </row>
    <row r="19" spans="1:30" s="176" customFormat="1" ht="13.5" thickTop="1" x14ac:dyDescent="0.2">
      <c r="A19" s="168"/>
      <c r="B19" s="494"/>
      <c r="C19" s="510"/>
      <c r="D19" s="182"/>
      <c r="E19" s="195"/>
      <c r="F19" s="496"/>
      <c r="G19" s="510"/>
      <c r="H19" s="182"/>
      <c r="I19" s="195"/>
      <c r="J19" s="496"/>
      <c r="K19" s="510"/>
      <c r="L19" s="182"/>
      <c r="M19" s="195"/>
      <c r="N19" s="496"/>
      <c r="O19" s="510"/>
      <c r="P19" s="182"/>
      <c r="Q19" s="195"/>
      <c r="R19" s="496"/>
      <c r="S19" s="510"/>
      <c r="T19" s="182"/>
      <c r="U19" s="195"/>
      <c r="V19" s="496"/>
      <c r="W19" s="510"/>
      <c r="X19" s="182"/>
      <c r="Y19" s="195"/>
      <c r="Z19" s="290"/>
      <c r="AA19" s="291"/>
    </row>
    <row r="20" spans="1:30" s="176" customFormat="1" x14ac:dyDescent="0.2">
      <c r="A20" s="169" t="s">
        <v>105</v>
      </c>
      <c r="B20" s="498"/>
      <c r="C20" s="511">
        <v>3768598.54</v>
      </c>
      <c r="D20" s="209"/>
      <c r="E20" s="211">
        <v>3689110.99</v>
      </c>
      <c r="F20" s="498"/>
      <c r="G20" s="511">
        <v>3775142.64</v>
      </c>
      <c r="H20" s="209"/>
      <c r="I20" s="211">
        <v>3986235.98</v>
      </c>
      <c r="J20" s="498"/>
      <c r="K20" s="511">
        <v>3403021.29</v>
      </c>
      <c r="L20" s="209"/>
      <c r="M20" s="211">
        <v>3693423.44</v>
      </c>
      <c r="N20" s="498"/>
      <c r="O20" s="529">
        <v>4030602.74</v>
      </c>
      <c r="P20" s="209"/>
      <c r="Q20" s="211">
        <v>4161924.03</v>
      </c>
      <c r="R20" s="498"/>
      <c r="S20" s="511">
        <v>4417579.59</v>
      </c>
      <c r="T20" s="209"/>
      <c r="U20" s="211">
        <v>4545718.82</v>
      </c>
      <c r="V20" s="498"/>
      <c r="W20" s="511">
        <v>3082676.65</v>
      </c>
      <c r="X20" s="209"/>
      <c r="Y20" s="211">
        <v>4478597.72</v>
      </c>
      <c r="Z20" s="292"/>
      <c r="AA20" s="293">
        <f>SUM(C20,E20,G20,I20,K20,M20,O20,Q20,S20,U20,W20,Y20)</f>
        <v>47032632.430000007</v>
      </c>
      <c r="AD20" s="203"/>
    </row>
    <row r="21" spans="1:30" x14ac:dyDescent="0.2">
      <c r="A21" s="45" t="s">
        <v>111</v>
      </c>
      <c r="B21" s="512"/>
      <c r="C21" s="513">
        <f>C15/C20</f>
        <v>4.3157926819129958E-2</v>
      </c>
      <c r="D21" s="307"/>
      <c r="E21" s="308">
        <f>E15/E20</f>
        <v>4.4404028624793423E-2</v>
      </c>
      <c r="F21" s="512"/>
      <c r="G21" s="513">
        <f>G15/G20</f>
        <v>4.2138617045738964E-2</v>
      </c>
      <c r="H21" s="307"/>
      <c r="I21" s="308">
        <f>I15/I20</f>
        <v>4.6002309175885769E-2</v>
      </c>
      <c r="J21" s="512"/>
      <c r="K21" s="513">
        <f>K15/K20</f>
        <v>4.5847418133549207E-2</v>
      </c>
      <c r="L21" s="307"/>
      <c r="M21" s="308">
        <f>M15/M20</f>
        <v>3.244441693368362E-2</v>
      </c>
      <c r="N21" s="512"/>
      <c r="O21" s="513">
        <f>O15/O20</f>
        <v>3.6676100210262845E-2</v>
      </c>
      <c r="P21" s="307"/>
      <c r="Q21" s="308">
        <f>Q15/Q20</f>
        <v>3.6455470812618365E-2</v>
      </c>
      <c r="R21" s="512"/>
      <c r="S21" s="513">
        <f>S15/S20</f>
        <v>3.5391563822396235E-2</v>
      </c>
      <c r="T21" s="307"/>
      <c r="U21" s="308">
        <f>U15/U20</f>
        <v>4.0713294712760077E-2</v>
      </c>
      <c r="V21" s="512"/>
      <c r="W21" s="513">
        <f>W15/W20</f>
        <v>5.4817847989343943E-2</v>
      </c>
      <c r="X21" s="307"/>
      <c r="Y21" s="308">
        <f>Y15/Y20</f>
        <v>4.522821710363395E-2</v>
      </c>
      <c r="Z21" s="309"/>
      <c r="AA21" s="310">
        <f>AA15/AA20</f>
        <v>4.1615254534456844E-2</v>
      </c>
    </row>
    <row r="22" spans="1:30" x14ac:dyDescent="0.2">
      <c r="A22" s="45"/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307"/>
      <c r="Y22" s="308"/>
      <c r="Z22" s="307"/>
      <c r="AA22" s="308"/>
    </row>
    <row r="23" spans="1:30" s="176" customFormat="1" x14ac:dyDescent="0.2">
      <c r="A23" s="203"/>
      <c r="B23" s="179"/>
      <c r="C23" s="178"/>
      <c r="D23" s="174"/>
      <c r="E23" s="178"/>
      <c r="F23" s="174"/>
      <c r="G23" s="178"/>
      <c r="H23" s="174"/>
      <c r="I23" s="178"/>
      <c r="J23" s="174"/>
      <c r="K23" s="178"/>
      <c r="L23" s="174"/>
      <c r="M23" s="178"/>
      <c r="N23" s="174"/>
      <c r="O23" s="178"/>
      <c r="P23" s="174"/>
      <c r="R23" s="179"/>
      <c r="T23" s="179"/>
      <c r="U23" s="187"/>
      <c r="V23" s="174"/>
      <c r="W23" s="178"/>
      <c r="X23" s="174"/>
      <c r="Z23" s="179"/>
    </row>
    <row r="24" spans="1:30" s="451" customFormat="1" ht="29.25" customHeight="1" x14ac:dyDescent="0.2">
      <c r="A24" s="448" t="s">
        <v>152</v>
      </c>
      <c r="B24" s="449"/>
      <c r="C24" s="485">
        <f>C18-C8</f>
        <v>67586.253333333327</v>
      </c>
      <c r="D24" s="485"/>
      <c r="E24" s="485">
        <f>E18-E8</f>
        <v>87549.993333333347</v>
      </c>
      <c r="F24" s="485"/>
      <c r="G24" s="485">
        <f>G18-G8</f>
        <v>76856.013333333365</v>
      </c>
      <c r="H24" s="485"/>
      <c r="I24" s="485">
        <f>I18-I8</f>
        <v>96110.91333333333</v>
      </c>
      <c r="J24" s="485"/>
      <c r="K24" s="485">
        <f>K18-K8</f>
        <v>91052.093333333367</v>
      </c>
      <c r="L24" s="485"/>
      <c r="M24" s="485">
        <f>M18-M8</f>
        <v>48322.723333333328</v>
      </c>
      <c r="N24" s="485"/>
      <c r="O24" s="485">
        <f>O18-O8</f>
        <v>65972.503333333356</v>
      </c>
      <c r="P24" s="485"/>
      <c r="Q24" s="485">
        <f>Q18-Q8</f>
        <v>63967.063333333324</v>
      </c>
      <c r="R24" s="485"/>
      <c r="S24" s="485">
        <f>S18-S8</f>
        <v>54556.723333333328</v>
      </c>
      <c r="T24" s="485"/>
      <c r="U24" s="485">
        <f>U18-U8</f>
        <v>81273.353333333333</v>
      </c>
      <c r="V24" s="485"/>
      <c r="W24" s="485">
        <f>W18-W8</f>
        <v>67866.37333333338</v>
      </c>
      <c r="X24" s="485"/>
      <c r="Y24" s="485">
        <f>Y18-Y8</f>
        <v>102450.48333333331</v>
      </c>
      <c r="Z24" s="485"/>
      <c r="AA24" s="485">
        <f>AA18-AA8</f>
        <v>903564.48999999976</v>
      </c>
      <c r="AB24" s="450"/>
      <c r="AC24" s="450"/>
      <c r="AD24" s="450"/>
    </row>
    <row r="25" spans="1:30" s="176" customFormat="1" x14ac:dyDescent="0.2">
      <c r="A25" s="203"/>
      <c r="B25" s="179"/>
      <c r="D25" s="179"/>
      <c r="F25" s="179"/>
      <c r="H25" s="179"/>
      <c r="J25" s="179"/>
      <c r="L25" s="179"/>
      <c r="N25" s="179"/>
      <c r="O25" s="178"/>
      <c r="P25" s="174"/>
      <c r="R25" s="179"/>
      <c r="T25" s="179"/>
      <c r="U25" s="197"/>
      <c r="V25" s="179"/>
      <c r="X25" s="179"/>
      <c r="Z25" s="179"/>
    </row>
    <row r="26" spans="1:30" s="176" customFormat="1" ht="25.5" x14ac:dyDescent="0.2">
      <c r="A26" s="488" t="s">
        <v>153</v>
      </c>
      <c r="B26" s="179"/>
      <c r="D26" s="179"/>
      <c r="F26" s="179"/>
      <c r="H26" s="179"/>
      <c r="J26" s="179"/>
      <c r="L26" s="179"/>
      <c r="N26" s="179"/>
      <c r="O26" s="178"/>
      <c r="P26" s="174"/>
      <c r="R26" s="179"/>
      <c r="T26" s="179"/>
      <c r="U26" s="197"/>
      <c r="V26" s="179"/>
      <c r="X26" s="179"/>
      <c r="Z26" s="179"/>
      <c r="AA26" s="306"/>
    </row>
    <row r="27" spans="1:30" s="480" customFormat="1" ht="51" customHeight="1" x14ac:dyDescent="0.2">
      <c r="A27" s="487" t="s">
        <v>154</v>
      </c>
      <c r="B27" s="475"/>
      <c r="C27" s="476"/>
      <c r="D27" s="477"/>
      <c r="E27" s="476"/>
      <c r="F27" s="477"/>
      <c r="G27" s="476"/>
      <c r="H27" s="477"/>
      <c r="I27" s="476"/>
      <c r="J27" s="479"/>
      <c r="L27" s="479"/>
      <c r="N27" s="479"/>
      <c r="O27" s="481"/>
      <c r="P27" s="482"/>
      <c r="R27" s="479"/>
      <c r="T27" s="479"/>
      <c r="U27" s="483"/>
      <c r="V27" s="479"/>
      <c r="X27" s="479"/>
      <c r="Z27" s="479"/>
    </row>
    <row r="28" spans="1:30" s="480" customFormat="1" ht="28.5" customHeight="1" x14ac:dyDescent="0.2">
      <c r="A28" s="474"/>
      <c r="B28" s="475"/>
      <c r="C28" s="476"/>
      <c r="D28" s="477"/>
      <c r="E28" s="476"/>
      <c r="F28" s="477"/>
      <c r="G28" s="476"/>
      <c r="H28" s="477"/>
      <c r="I28" s="476"/>
      <c r="J28" s="479"/>
      <c r="L28" s="479"/>
      <c r="N28" s="479"/>
      <c r="O28" s="481"/>
      <c r="P28" s="482"/>
      <c r="R28" s="479"/>
      <c r="T28" s="479"/>
      <c r="U28" s="483"/>
      <c r="V28" s="479"/>
      <c r="X28" s="479"/>
      <c r="Z28" s="479"/>
    </row>
    <row r="29" spans="1:30" x14ac:dyDescent="0.2">
      <c r="A29" s="478"/>
      <c r="B29"/>
      <c r="C29" s="88"/>
      <c r="D29"/>
      <c r="E29" s="96"/>
      <c r="F29"/>
      <c r="G29" s="96"/>
      <c r="H29"/>
      <c r="I29" s="88"/>
      <c r="J29"/>
      <c r="K29" s="88"/>
      <c r="L29" s="26"/>
      <c r="M29" s="90"/>
      <c r="N29"/>
      <c r="O29" s="96"/>
      <c r="P29" s="6"/>
      <c r="Q29" s="88"/>
      <c r="R29" s="71"/>
      <c r="S29" s="88"/>
      <c r="T29" s="6"/>
      <c r="U29" s="88"/>
      <c r="V29" s="6"/>
      <c r="W29" s="88"/>
      <c r="X29" s="6"/>
      <c r="Y29"/>
      <c r="Z29"/>
      <c r="AA29"/>
    </row>
    <row r="30" spans="1:30" x14ac:dyDescent="0.2">
      <c r="A30" s="216"/>
      <c r="B30" s="51"/>
      <c r="C30" s="88"/>
      <c r="D30"/>
      <c r="E30" s="96"/>
      <c r="F30"/>
      <c r="G30" s="96"/>
      <c r="H30"/>
      <c r="I30" s="88"/>
      <c r="J30"/>
      <c r="K30" s="88"/>
      <c r="L30" s="26"/>
      <c r="M30" s="90"/>
      <c r="N30"/>
      <c r="O30" s="96"/>
      <c r="P30" s="6"/>
      <c r="Q30" s="88"/>
      <c r="R30" s="71"/>
      <c r="S30" s="88"/>
      <c r="T30" s="6"/>
      <c r="U30" s="88"/>
      <c r="V30" s="6"/>
      <c r="W30" s="88"/>
      <c r="X30" s="6"/>
      <c r="Y30"/>
      <c r="Z30"/>
      <c r="AA30"/>
    </row>
    <row r="31" spans="1:30" x14ac:dyDescent="0.2">
      <c r="A31" s="216"/>
      <c r="B31"/>
      <c r="C31" s="88"/>
      <c r="D31"/>
      <c r="E31" s="96"/>
      <c r="F31"/>
      <c r="G31" s="96"/>
      <c r="H31"/>
      <c r="I31" s="88"/>
      <c r="J31"/>
      <c r="K31" s="88"/>
      <c r="L31" s="26"/>
      <c r="M31" s="90"/>
      <c r="N31"/>
      <c r="O31" s="96"/>
      <c r="P31" s="6"/>
      <c r="Q31" s="88"/>
      <c r="R31" s="71"/>
      <c r="S31" s="88"/>
      <c r="T31" s="6"/>
      <c r="U31" s="88"/>
      <c r="V31" s="6"/>
      <c r="W31" s="88"/>
      <c r="X31" s="38"/>
      <c r="Y31"/>
      <c r="Z31"/>
      <c r="AA31"/>
    </row>
    <row r="32" spans="1:30" x14ac:dyDescent="0.2">
      <c r="A32" s="478"/>
      <c r="B32"/>
      <c r="C32" s="88"/>
      <c r="D32"/>
      <c r="E32" s="96"/>
      <c r="F32"/>
      <c r="G32" s="96"/>
      <c r="H32"/>
      <c r="I32" s="88"/>
      <c r="J32"/>
      <c r="K32" s="88"/>
      <c r="L32" s="26"/>
      <c r="M32" s="90"/>
      <c r="N32"/>
      <c r="O32" s="96"/>
      <c r="P32" s="6"/>
      <c r="Q32" s="88"/>
      <c r="R32" s="71"/>
      <c r="S32" s="88"/>
      <c r="T32" s="6"/>
      <c r="U32" s="88"/>
      <c r="V32" s="6"/>
      <c r="W32" s="88"/>
      <c r="X32" s="6"/>
      <c r="Y32"/>
      <c r="Z32"/>
      <c r="AA32"/>
    </row>
    <row r="33" spans="1:27" x14ac:dyDescent="0.2">
      <c r="A33" s="216"/>
      <c r="B33"/>
      <c r="C33" s="88"/>
      <c r="D33"/>
      <c r="E33" s="96"/>
      <c r="F33"/>
      <c r="G33" s="96"/>
      <c r="H33"/>
      <c r="I33" s="88"/>
      <c r="J33"/>
      <c r="K33" s="88"/>
      <c r="L33" s="26"/>
      <c r="M33" s="90"/>
      <c r="N33"/>
      <c r="O33" s="96"/>
      <c r="P33" s="6"/>
      <c r="Q33" s="88"/>
      <c r="R33" s="80"/>
      <c r="S33" s="88"/>
      <c r="T33" s="6"/>
      <c r="U33" s="88"/>
      <c r="V33" s="6"/>
      <c r="W33" s="88"/>
      <c r="X33" s="6"/>
      <c r="Y33"/>
      <c r="Z33"/>
      <c r="AA33"/>
    </row>
  </sheetData>
  <pageMargins left="0.7" right="0.7" top="0.75" bottom="0.75" header="0.3" footer="0.3"/>
  <pageSetup paperSize="5" scale="61" orientation="landscape" r:id="rId1"/>
  <headerFooter>
    <oddFooter>&amp;L&amp;8&amp;Z&amp;F
Prepared by Danielle Meier</oddFooter>
  </headerFooter>
  <ignoredErrors>
    <ignoredError sqref="C21:AA21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workbookViewId="0"/>
  </sheetViews>
  <sheetFormatPr defaultRowHeight="12.75" x14ac:dyDescent="0.2"/>
  <cols>
    <col min="1" max="1" width="46.42578125" style="203" customWidth="1"/>
    <col min="2" max="2" width="7.28515625" style="88" customWidth="1"/>
    <col min="3" max="3" width="12.42578125" customWidth="1"/>
    <col min="4" max="4" width="7.28515625" style="88" customWidth="1"/>
    <col min="5" max="5" width="12.42578125" customWidth="1"/>
    <col min="6" max="6" width="7.28515625" style="88" customWidth="1"/>
    <col min="7" max="7" width="12.42578125" customWidth="1"/>
    <col min="8" max="8" width="7.28515625" style="96" customWidth="1"/>
    <col min="9" max="9" width="12.42578125" customWidth="1"/>
    <col min="10" max="10" width="7.28515625" style="96" customWidth="1"/>
    <col min="11" max="11" width="12.42578125" customWidth="1"/>
    <col min="12" max="12" width="7.28515625" style="88" customWidth="1"/>
    <col min="13" max="13" width="12.42578125" customWidth="1"/>
    <col min="14" max="14" width="6.42578125" style="88" customWidth="1"/>
    <col min="15" max="15" width="11.28515625" style="26" customWidth="1"/>
    <col min="16" max="16" width="6.5703125" style="90" customWidth="1"/>
    <col min="17" max="17" width="11.28515625" customWidth="1"/>
    <col min="18" max="18" width="6.5703125" style="96" customWidth="1"/>
    <col min="19" max="19" width="11.28515625" style="6" customWidth="1"/>
    <col min="20" max="20" width="6.5703125" style="88" customWidth="1"/>
    <col min="21" max="21" width="11.140625" style="71" customWidth="1"/>
    <col min="22" max="22" width="6.42578125" style="88" customWidth="1"/>
    <col min="23" max="23" width="12.42578125" style="6" customWidth="1"/>
    <col min="24" max="24" width="8.5703125" style="88" customWidth="1"/>
    <col min="25" max="25" width="11.28515625" style="6" customWidth="1"/>
    <col min="26" max="26" width="8.5703125" style="88" customWidth="1"/>
    <col min="27" max="27" width="14" style="6" bestFit="1" customWidth="1"/>
    <col min="28" max="28" width="10.5703125" bestFit="1" customWidth="1"/>
    <col min="29" max="29" width="15" bestFit="1" customWidth="1"/>
  </cols>
  <sheetData>
    <row r="1" spans="1:31" ht="15.75" x14ac:dyDescent="0.25">
      <c r="A1" s="533" t="s">
        <v>155</v>
      </c>
    </row>
    <row r="2" spans="1:31" s="6" customFormat="1" x14ac:dyDescent="0.2">
      <c r="B2" s="489"/>
      <c r="C2" s="534" t="s">
        <v>21</v>
      </c>
      <c r="D2" s="88"/>
      <c r="E2" s="535" t="s">
        <v>22</v>
      </c>
      <c r="F2" s="489"/>
      <c r="G2" s="534" t="s">
        <v>23</v>
      </c>
      <c r="H2" s="88"/>
      <c r="I2" s="535" t="s">
        <v>24</v>
      </c>
      <c r="J2" s="489"/>
      <c r="K2" s="534" t="s">
        <v>25</v>
      </c>
      <c r="L2" s="88"/>
      <c r="M2" s="535" t="s">
        <v>20</v>
      </c>
      <c r="N2" s="489"/>
      <c r="O2" s="536" t="s">
        <v>4</v>
      </c>
      <c r="P2" s="90"/>
      <c r="Q2" s="535" t="s">
        <v>5</v>
      </c>
      <c r="R2" s="489"/>
      <c r="S2" s="534" t="s">
        <v>6</v>
      </c>
      <c r="T2" s="88"/>
      <c r="U2" s="537" t="s">
        <v>7</v>
      </c>
      <c r="V2" s="489"/>
      <c r="W2" s="534" t="s">
        <v>8</v>
      </c>
      <c r="X2" s="88"/>
      <c r="Y2" s="535" t="s">
        <v>9</v>
      </c>
      <c r="Z2" s="272" t="s">
        <v>29</v>
      </c>
      <c r="AA2" s="273" t="s">
        <v>29</v>
      </c>
    </row>
    <row r="3" spans="1:31" x14ac:dyDescent="0.2">
      <c r="B3" s="489" t="s">
        <v>38</v>
      </c>
      <c r="C3" s="534" t="s">
        <v>65</v>
      </c>
      <c r="D3" s="88" t="s">
        <v>38</v>
      </c>
      <c r="E3" s="535" t="s">
        <v>65</v>
      </c>
      <c r="F3" s="489" t="s">
        <v>38</v>
      </c>
      <c r="G3" s="534" t="s">
        <v>65</v>
      </c>
      <c r="H3" s="88" t="s">
        <v>38</v>
      </c>
      <c r="I3" s="535" t="s">
        <v>65</v>
      </c>
      <c r="J3" s="489" t="s">
        <v>38</v>
      </c>
      <c r="K3" s="534" t="s">
        <v>65</v>
      </c>
      <c r="L3" s="88" t="s">
        <v>38</v>
      </c>
      <c r="M3" s="535" t="s">
        <v>65</v>
      </c>
      <c r="N3" s="489" t="s">
        <v>38</v>
      </c>
      <c r="O3" s="536" t="s">
        <v>65</v>
      </c>
      <c r="P3" s="88" t="s">
        <v>38</v>
      </c>
      <c r="Q3" s="538" t="s">
        <v>65</v>
      </c>
      <c r="R3" s="489" t="s">
        <v>38</v>
      </c>
      <c r="S3" s="534" t="s">
        <v>65</v>
      </c>
      <c r="T3" s="88" t="s">
        <v>38</v>
      </c>
      <c r="U3" s="72" t="s">
        <v>65</v>
      </c>
      <c r="V3" s="489" t="s">
        <v>38</v>
      </c>
      <c r="W3" s="534" t="s">
        <v>65</v>
      </c>
      <c r="X3" s="88" t="s">
        <v>38</v>
      </c>
      <c r="Y3" s="535" t="s">
        <v>65</v>
      </c>
      <c r="Z3" s="272" t="s">
        <v>38</v>
      </c>
      <c r="AA3" s="274" t="s">
        <v>52</v>
      </c>
    </row>
    <row r="4" spans="1:31" x14ac:dyDescent="0.2">
      <c r="A4" s="169" t="s">
        <v>60</v>
      </c>
      <c r="B4" s="489"/>
      <c r="C4" s="491"/>
      <c r="D4" s="90"/>
      <c r="E4" s="26"/>
      <c r="F4" s="514"/>
      <c r="G4" s="515"/>
      <c r="H4" s="98"/>
      <c r="J4" s="523"/>
      <c r="K4" s="491"/>
      <c r="N4" s="489"/>
      <c r="O4" s="515"/>
      <c r="R4" s="523"/>
      <c r="S4" s="530"/>
      <c r="U4" s="77"/>
      <c r="V4" s="514"/>
      <c r="W4" s="531"/>
      <c r="X4" s="90"/>
      <c r="Z4" s="272"/>
      <c r="AA4" s="273"/>
    </row>
    <row r="5" spans="1:31" s="176" customFormat="1" ht="13.5" thickBot="1" x14ac:dyDescent="0.25">
      <c r="A5" s="169" t="s">
        <v>136</v>
      </c>
      <c r="B5" s="492">
        <v>7012</v>
      </c>
      <c r="C5" s="493"/>
      <c r="D5" s="177">
        <v>7148</v>
      </c>
      <c r="E5" s="178"/>
      <c r="F5" s="516">
        <v>7912</v>
      </c>
      <c r="G5" s="495"/>
      <c r="H5" s="177">
        <v>8519</v>
      </c>
      <c r="J5" s="492">
        <v>7058</v>
      </c>
      <c r="K5" s="493"/>
      <c r="L5" s="175">
        <v>7223</v>
      </c>
      <c r="N5" s="492">
        <v>7021</v>
      </c>
      <c r="O5" s="493"/>
      <c r="P5" s="175">
        <v>6766</v>
      </c>
      <c r="R5" s="492">
        <v>7468</v>
      </c>
      <c r="S5" s="493"/>
      <c r="T5" s="175">
        <v>7625</v>
      </c>
      <c r="V5" s="492">
        <v>7302</v>
      </c>
      <c r="W5" s="493"/>
      <c r="X5" s="175">
        <v>7354</v>
      </c>
      <c r="Z5" s="275">
        <f>B5+D5+F5+H5+J5+L5+N5+P5+R5+T5+V5+X5</f>
        <v>88408</v>
      </c>
      <c r="AA5" s="276"/>
    </row>
    <row r="6" spans="1:31" s="176" customFormat="1" ht="13.5" thickTop="1" x14ac:dyDescent="0.2">
      <c r="A6" s="470" t="s">
        <v>142</v>
      </c>
      <c r="B6" s="494"/>
      <c r="C6" s="495">
        <v>162386.15</v>
      </c>
      <c r="D6" s="174"/>
      <c r="E6" s="180">
        <v>152887.1</v>
      </c>
      <c r="F6" s="517"/>
      <c r="G6" s="518">
        <v>163212.73000000001</v>
      </c>
      <c r="H6" s="174"/>
      <c r="I6" s="180">
        <v>174919.06</v>
      </c>
      <c r="J6" s="517"/>
      <c r="K6" s="518">
        <v>135867.57999999999</v>
      </c>
      <c r="L6" s="174"/>
      <c r="M6" s="66">
        <v>152099.79999999999</v>
      </c>
      <c r="N6" s="494"/>
      <c r="O6" s="495">
        <v>144379.39000000001</v>
      </c>
      <c r="P6" s="174"/>
      <c r="Q6" s="178">
        <v>139543.1</v>
      </c>
      <c r="R6" s="517"/>
      <c r="S6" s="495">
        <v>152925.89000000001</v>
      </c>
      <c r="T6" s="174"/>
      <c r="U6" s="178">
        <v>162726.69</v>
      </c>
      <c r="V6" s="517"/>
      <c r="W6" s="495">
        <v>157165.74</v>
      </c>
      <c r="X6" s="174"/>
      <c r="Y6" s="181">
        <v>157264.07999999999</v>
      </c>
      <c r="Z6" s="277"/>
      <c r="AA6" s="280">
        <f>SUM(C6:Y6)</f>
        <v>1855377.3100000003</v>
      </c>
    </row>
    <row r="7" spans="1:31" s="176" customFormat="1" x14ac:dyDescent="0.2">
      <c r="A7" s="542" t="s">
        <v>157</v>
      </c>
      <c r="B7" s="496"/>
      <c r="C7" s="497">
        <v>7493.5</v>
      </c>
      <c r="D7" s="184"/>
      <c r="E7" s="183">
        <v>7054.75</v>
      </c>
      <c r="F7" s="519"/>
      <c r="G7" s="497">
        <v>7475.5</v>
      </c>
      <c r="H7" s="184"/>
      <c r="I7" s="183">
        <v>7989.5</v>
      </c>
      <c r="J7" s="519"/>
      <c r="K7" s="497">
        <v>6140</v>
      </c>
      <c r="L7" s="184"/>
      <c r="M7" s="67">
        <v>7029.25</v>
      </c>
      <c r="N7" s="496"/>
      <c r="O7" s="526">
        <v>6884</v>
      </c>
      <c r="P7" s="184"/>
      <c r="Q7" s="185">
        <v>6679.25</v>
      </c>
      <c r="R7" s="519"/>
      <c r="S7" s="526">
        <v>7306</v>
      </c>
      <c r="T7" s="184"/>
      <c r="U7" s="185">
        <v>7561.25</v>
      </c>
      <c r="V7" s="519"/>
      <c r="W7" s="526">
        <v>7264.75</v>
      </c>
      <c r="X7" s="184"/>
      <c r="Y7" s="183">
        <v>7254.5</v>
      </c>
      <c r="Z7" s="279"/>
      <c r="AA7" s="280">
        <f>SUM(C7:Y7)</f>
        <v>86132.25</v>
      </c>
    </row>
    <row r="8" spans="1:31" s="176" customFormat="1" x14ac:dyDescent="0.2">
      <c r="A8" s="169" t="s">
        <v>62</v>
      </c>
      <c r="B8" s="498"/>
      <c r="C8" s="499">
        <f>C6+C7</f>
        <v>169879.65</v>
      </c>
      <c r="D8" s="220"/>
      <c r="E8" s="462">
        <f>E6+E7</f>
        <v>159941.85</v>
      </c>
      <c r="F8" s="520"/>
      <c r="G8" s="499">
        <f>G6+G7</f>
        <v>170688.23</v>
      </c>
      <c r="H8" s="220"/>
      <c r="I8" s="462">
        <f>I6+I7</f>
        <v>182908.56</v>
      </c>
      <c r="J8" s="520"/>
      <c r="K8" s="499">
        <f>K6+K7</f>
        <v>142007.57999999999</v>
      </c>
      <c r="L8" s="220"/>
      <c r="M8" s="462">
        <f>M6+M7</f>
        <v>159129.04999999999</v>
      </c>
      <c r="N8" s="520"/>
      <c r="O8" s="499">
        <f>O6+O7</f>
        <v>151263.39000000001</v>
      </c>
      <c r="P8" s="220"/>
      <c r="Q8" s="462">
        <f>Q6+Q7</f>
        <v>146222.35</v>
      </c>
      <c r="R8" s="520"/>
      <c r="S8" s="499">
        <f>S6+S7</f>
        <v>160231.89000000001</v>
      </c>
      <c r="T8" s="220"/>
      <c r="U8" s="462">
        <f>U6+U7</f>
        <v>170287.94</v>
      </c>
      <c r="V8" s="520"/>
      <c r="W8" s="499">
        <f>W6+W7</f>
        <v>164430.49</v>
      </c>
      <c r="X8" s="220"/>
      <c r="Y8" s="462">
        <f>Y6+Y7</f>
        <v>164518.57999999999</v>
      </c>
      <c r="Z8" s="281"/>
      <c r="AA8" s="293">
        <f>SUM(C8,E8,G8,I8,K8,M8,O8,Q8,S8,U8,W8,Y8)</f>
        <v>1941509.5600000003</v>
      </c>
      <c r="AC8" s="484"/>
    </row>
    <row r="9" spans="1:31" s="176" customFormat="1" x14ac:dyDescent="0.2">
      <c r="A9" s="203"/>
      <c r="B9" s="494"/>
      <c r="C9" s="495"/>
      <c r="D9" s="179"/>
      <c r="F9" s="494"/>
      <c r="G9" s="493"/>
      <c r="H9" s="179"/>
      <c r="J9" s="494"/>
      <c r="K9" s="493"/>
      <c r="L9" s="179"/>
      <c r="N9" s="494"/>
      <c r="O9" s="527"/>
      <c r="P9" s="188"/>
      <c r="R9" s="494"/>
      <c r="S9" s="493"/>
      <c r="T9" s="179"/>
      <c r="U9" s="189"/>
      <c r="V9" s="532"/>
      <c r="W9" s="493"/>
      <c r="X9" s="179"/>
      <c r="Z9" s="277"/>
      <c r="AA9" s="276"/>
    </row>
    <row r="10" spans="1:31" s="190" customFormat="1" x14ac:dyDescent="0.2">
      <c r="A10" s="205" t="s">
        <v>129</v>
      </c>
      <c r="B10" s="500"/>
      <c r="C10" s="501"/>
      <c r="D10" s="173"/>
      <c r="F10" s="517"/>
      <c r="G10" s="521"/>
      <c r="H10" s="173"/>
      <c r="J10" s="524"/>
      <c r="K10" s="521"/>
      <c r="L10" s="173"/>
      <c r="N10" s="524"/>
      <c r="O10" s="528"/>
      <c r="P10" s="172"/>
      <c r="R10" s="524"/>
      <c r="S10" s="521"/>
      <c r="T10" s="173"/>
      <c r="U10" s="191"/>
      <c r="V10" s="500"/>
      <c r="W10" s="528"/>
      <c r="X10" s="173"/>
      <c r="Z10" s="283"/>
      <c r="AA10" s="284"/>
    </row>
    <row r="11" spans="1:31" s="172" customFormat="1" x14ac:dyDescent="0.2">
      <c r="A11" s="471" t="s">
        <v>139</v>
      </c>
      <c r="B11" s="500">
        <v>2325</v>
      </c>
      <c r="C11" s="527">
        <v>83227.460000000006</v>
      </c>
      <c r="D11" s="172">
        <v>2134</v>
      </c>
      <c r="E11" s="444">
        <v>79412.28</v>
      </c>
      <c r="F11" s="500">
        <v>2658</v>
      </c>
      <c r="G11" s="527">
        <v>88475.51</v>
      </c>
      <c r="H11" s="172">
        <v>2320</v>
      </c>
      <c r="I11" s="444">
        <v>84520.56</v>
      </c>
      <c r="J11" s="500">
        <v>1343</v>
      </c>
      <c r="K11" s="527">
        <v>65498.23</v>
      </c>
      <c r="L11" s="172">
        <v>2145</v>
      </c>
      <c r="M11" s="444">
        <v>83778.720000000001</v>
      </c>
      <c r="N11" s="500">
        <v>2380</v>
      </c>
      <c r="O11" s="527">
        <v>90123.72</v>
      </c>
      <c r="P11" s="172">
        <v>1911</v>
      </c>
      <c r="Q11" s="444">
        <v>74706.81</v>
      </c>
      <c r="R11" s="500">
        <v>2167</v>
      </c>
      <c r="S11" s="527">
        <v>82452.679999999993</v>
      </c>
      <c r="T11" s="172">
        <v>2436</v>
      </c>
      <c r="U11" s="444">
        <v>89414.58</v>
      </c>
      <c r="V11" s="500">
        <v>2119</v>
      </c>
      <c r="W11" s="527">
        <v>78877.14</v>
      </c>
      <c r="X11" s="172">
        <v>2211</v>
      </c>
      <c r="Y11" s="444">
        <v>78359.759999999995</v>
      </c>
      <c r="Z11" s="539">
        <f>SUM(B11+D11+F11+H11+J11+L11+N11+P11+R11+T11+V11+X11)</f>
        <v>26149</v>
      </c>
      <c r="AA11" s="540">
        <f>SUM(C11,E11,G11,I11,K11,M11,O11,Q11,S11,U11,W11,Y11)</f>
        <v>978847.45</v>
      </c>
      <c r="AC11" s="443"/>
      <c r="AD11" s="442"/>
      <c r="AE11" s="442"/>
    </row>
    <row r="12" spans="1:31" s="172" customFormat="1" x14ac:dyDescent="0.2">
      <c r="A12" s="471" t="s">
        <v>140</v>
      </c>
      <c r="B12" s="500">
        <v>13</v>
      </c>
      <c r="C12" s="527">
        <v>932.38</v>
      </c>
      <c r="D12" s="172">
        <v>10</v>
      </c>
      <c r="E12" s="444">
        <v>1400.3</v>
      </c>
      <c r="F12" s="500">
        <v>10</v>
      </c>
      <c r="G12" s="527">
        <v>836.12</v>
      </c>
      <c r="H12" s="172">
        <v>21</v>
      </c>
      <c r="I12" s="481">
        <v>2203.39</v>
      </c>
      <c r="J12" s="500">
        <v>13</v>
      </c>
      <c r="K12" s="527">
        <v>1519.48</v>
      </c>
      <c r="L12" s="172">
        <v>6</v>
      </c>
      <c r="M12" s="444">
        <v>401.61</v>
      </c>
      <c r="N12" s="500">
        <v>12</v>
      </c>
      <c r="O12" s="527">
        <v>888.85</v>
      </c>
      <c r="P12" s="172">
        <v>4</v>
      </c>
      <c r="Q12" s="444">
        <v>542.52</v>
      </c>
      <c r="R12" s="500">
        <v>2</v>
      </c>
      <c r="S12" s="527">
        <v>287.27999999999997</v>
      </c>
      <c r="T12" s="172">
        <v>10</v>
      </c>
      <c r="U12" s="444">
        <v>539.29</v>
      </c>
      <c r="V12" s="500">
        <v>8</v>
      </c>
      <c r="W12" s="527">
        <v>572.74</v>
      </c>
      <c r="X12" s="172">
        <v>15</v>
      </c>
      <c r="Y12" s="444">
        <v>1241.6600000000001</v>
      </c>
      <c r="Z12" s="539">
        <f>SUM(B12+D12+F12+H12+J12+L12+N12+P12+R12+T12+V12+X12)</f>
        <v>124</v>
      </c>
      <c r="AA12" s="540">
        <f>SUM(C12,E12,G12,I12,K12,M12,O12,Q12,S12,U12,W12,Y12)</f>
        <v>11365.62</v>
      </c>
      <c r="AC12" s="311"/>
    </row>
    <row r="13" spans="1:31" s="172" customFormat="1" x14ac:dyDescent="0.2">
      <c r="A13" s="471" t="s">
        <v>146</v>
      </c>
      <c r="B13" s="500">
        <v>2729</v>
      </c>
      <c r="C13" s="527">
        <v>67513</v>
      </c>
      <c r="D13" s="172">
        <v>2377</v>
      </c>
      <c r="E13" s="444">
        <v>51899.16</v>
      </c>
      <c r="F13" s="500">
        <v>3418</v>
      </c>
      <c r="G13" s="527">
        <v>78901.490000000005</v>
      </c>
      <c r="H13" s="172">
        <v>2626</v>
      </c>
      <c r="I13" s="444">
        <v>65085.38</v>
      </c>
      <c r="J13" s="500">
        <v>2477</v>
      </c>
      <c r="K13" s="527">
        <v>54888.67</v>
      </c>
      <c r="L13" s="172">
        <v>2297</v>
      </c>
      <c r="M13" s="444">
        <v>59418.34</v>
      </c>
      <c r="N13" s="500">
        <v>2282</v>
      </c>
      <c r="O13" s="527">
        <v>58095.62</v>
      </c>
      <c r="P13" s="172">
        <v>2388</v>
      </c>
      <c r="Q13" s="444">
        <v>53274.26</v>
      </c>
      <c r="R13" s="500">
        <v>2348</v>
      </c>
      <c r="S13" s="527">
        <v>67166.5</v>
      </c>
      <c r="T13" s="172">
        <v>3032</v>
      </c>
      <c r="U13" s="444">
        <v>71821.509999999995</v>
      </c>
      <c r="V13" s="500">
        <v>2348</v>
      </c>
      <c r="W13" s="527">
        <v>56184.7</v>
      </c>
      <c r="X13" s="172">
        <v>2761</v>
      </c>
      <c r="Y13" s="444">
        <v>61487.01</v>
      </c>
      <c r="Z13" s="539">
        <f>SUM(B13+D13+F13+H13+J13+L13+N13+P13+R13+T13+V13+X13)</f>
        <v>31083</v>
      </c>
      <c r="AA13" s="540">
        <f>SUM(C13,E13,G13,I13,K13,M13,O13,Q13,S13,U13,W13,Y13)</f>
        <v>745735.64</v>
      </c>
    </row>
    <row r="14" spans="1:31" s="176" customFormat="1" x14ac:dyDescent="0.2">
      <c r="A14" s="470" t="s">
        <v>141</v>
      </c>
      <c r="B14" s="496">
        <v>1604</v>
      </c>
      <c r="C14" s="495">
        <v>11828</v>
      </c>
      <c r="D14" s="182">
        <v>546</v>
      </c>
      <c r="E14" s="178">
        <v>1787</v>
      </c>
      <c r="F14" s="496">
        <v>1775</v>
      </c>
      <c r="G14" s="495">
        <v>13033</v>
      </c>
      <c r="H14" s="182">
        <v>2219</v>
      </c>
      <c r="I14" s="178">
        <v>15505</v>
      </c>
      <c r="J14" s="496">
        <v>1659</v>
      </c>
      <c r="K14" s="495">
        <v>15891</v>
      </c>
      <c r="L14" s="182">
        <v>1693</v>
      </c>
      <c r="M14" s="178">
        <v>13344</v>
      </c>
      <c r="N14" s="496">
        <v>2377</v>
      </c>
      <c r="O14" s="495">
        <v>16669</v>
      </c>
      <c r="P14" s="182">
        <v>1994</v>
      </c>
      <c r="Q14" s="178">
        <v>15566</v>
      </c>
      <c r="R14" s="496">
        <v>519</v>
      </c>
      <c r="S14" s="495">
        <v>11714</v>
      </c>
      <c r="T14" s="182">
        <v>2460</v>
      </c>
      <c r="U14" s="178">
        <v>19269</v>
      </c>
      <c r="V14" s="496">
        <v>1348</v>
      </c>
      <c r="W14" s="495">
        <v>14283</v>
      </c>
      <c r="X14" s="182">
        <v>1817</v>
      </c>
      <c r="Y14" s="178">
        <v>13577</v>
      </c>
      <c r="Z14" s="539">
        <f>SUM(B14+D14+F14+H14+J14+L14+N14+P14+R14+T14+V14+X14)</f>
        <v>20011</v>
      </c>
      <c r="AA14" s="540">
        <f>SUM(C14,E14,G14,I14,K14,M14,O14,Q14,S14,U14,W14,Y14)</f>
        <v>162466</v>
      </c>
      <c r="AD14" s="203"/>
    </row>
    <row r="15" spans="1:31" s="176" customFormat="1" ht="25.5" x14ac:dyDescent="0.2">
      <c r="A15" s="486" t="s">
        <v>151</v>
      </c>
      <c r="B15" s="504">
        <f>SUM(B11:B14)</f>
        <v>6671</v>
      </c>
      <c r="C15" s="505">
        <f>SUM(C11:C14)</f>
        <v>163500.84000000003</v>
      </c>
      <c r="D15" s="465">
        <f>SUM(D11:D14)</f>
        <v>5067</v>
      </c>
      <c r="E15" s="466">
        <f>SUM(E11:E14)</f>
        <v>134498.74</v>
      </c>
      <c r="F15" s="504">
        <f>SUM(F11:F14)</f>
        <v>7861</v>
      </c>
      <c r="G15" s="505">
        <f t="shared" ref="G15:Y15" si="0">SUM(G11:G14)</f>
        <v>181246.12</v>
      </c>
      <c r="H15" s="467">
        <f>SUM(H11:H14)</f>
        <v>7186</v>
      </c>
      <c r="I15" s="466">
        <f t="shared" si="0"/>
        <v>167314.32999999999</v>
      </c>
      <c r="J15" s="504">
        <f>SUM(J11:J14)</f>
        <v>5492</v>
      </c>
      <c r="K15" s="505">
        <f t="shared" si="0"/>
        <v>137797.38</v>
      </c>
      <c r="L15" s="467">
        <f>SUM(L11:L14)</f>
        <v>6141</v>
      </c>
      <c r="M15" s="466">
        <f t="shared" si="0"/>
        <v>156942.66999999998</v>
      </c>
      <c r="N15" s="504">
        <f>SUM(N11:N14)</f>
        <v>7051</v>
      </c>
      <c r="O15" s="505">
        <f t="shared" si="0"/>
        <v>165777.19</v>
      </c>
      <c r="P15" s="467">
        <f>SUM(P11:P14)</f>
        <v>6297</v>
      </c>
      <c r="Q15" s="466">
        <f t="shared" si="0"/>
        <v>144089.59</v>
      </c>
      <c r="R15" s="504">
        <f>SUM(R11:R14)</f>
        <v>5036</v>
      </c>
      <c r="S15" s="505">
        <f t="shared" si="0"/>
        <v>161620.46</v>
      </c>
      <c r="T15" s="467">
        <f>SUM(T11:T14)</f>
        <v>7938</v>
      </c>
      <c r="U15" s="466">
        <f t="shared" si="0"/>
        <v>181044.38</v>
      </c>
      <c r="V15" s="504">
        <f>SUM(V11:V14)</f>
        <v>5823</v>
      </c>
      <c r="W15" s="505">
        <f t="shared" si="0"/>
        <v>149917.58000000002</v>
      </c>
      <c r="X15" s="467">
        <f>SUM(X11:X14)</f>
        <v>6804</v>
      </c>
      <c r="Y15" s="466">
        <f t="shared" si="0"/>
        <v>154665.43</v>
      </c>
      <c r="Z15" s="468">
        <f>B15+D15+F15+H15+J15+L15+N15+P15+R15+T15+V15+X15</f>
        <v>77367</v>
      </c>
      <c r="AA15" s="469">
        <f>SUM(C15,E15,G15,I15,K15,M15,O15,Q15,S15,U15,W15,Y15)</f>
        <v>1898414.7100000002</v>
      </c>
      <c r="AB15" s="312"/>
      <c r="AC15" s="179"/>
      <c r="AD15" s="306"/>
    </row>
    <row r="16" spans="1:31" s="176" customFormat="1" x14ac:dyDescent="0.2">
      <c r="A16" s="452"/>
      <c r="B16" s="498"/>
      <c r="C16" s="506"/>
      <c r="D16" s="209"/>
      <c r="E16" s="453"/>
      <c r="F16" s="498"/>
      <c r="G16" s="506"/>
      <c r="H16" s="209"/>
      <c r="I16" s="195"/>
      <c r="J16" s="498"/>
      <c r="K16" s="506"/>
      <c r="L16" s="209"/>
      <c r="M16" s="195"/>
      <c r="N16" s="498"/>
      <c r="O16" s="506"/>
      <c r="P16" s="209"/>
      <c r="Q16" s="195"/>
      <c r="R16" s="498"/>
      <c r="S16" s="506"/>
      <c r="T16" s="209"/>
      <c r="U16" s="195"/>
      <c r="V16" s="498"/>
      <c r="W16" s="506"/>
      <c r="X16" s="209"/>
      <c r="Y16" s="453"/>
      <c r="Z16" s="454"/>
      <c r="AA16" s="455"/>
      <c r="AB16" s="312"/>
      <c r="AC16" s="179"/>
      <c r="AD16" s="306"/>
    </row>
    <row r="17" spans="1:30" s="458" customFormat="1" x14ac:dyDescent="0.2">
      <c r="A17" s="470" t="s">
        <v>145</v>
      </c>
      <c r="B17" s="507"/>
      <c r="C17" s="495">
        <f>75184*10/12</f>
        <v>62653.333333333336</v>
      </c>
      <c r="E17" s="473">
        <f>75184*10/12</f>
        <v>62653.333333333336</v>
      </c>
      <c r="F17" s="507"/>
      <c r="G17" s="495">
        <f>75184*10/12</f>
        <v>62653.333333333336</v>
      </c>
      <c r="I17" s="472">
        <v>62653</v>
      </c>
      <c r="J17" s="507"/>
      <c r="K17" s="495">
        <f>75184*10/12</f>
        <v>62653.333333333336</v>
      </c>
      <c r="M17" s="472">
        <v>62653</v>
      </c>
      <c r="N17" s="507"/>
      <c r="O17" s="495">
        <f>75184*10/12</f>
        <v>62653.333333333336</v>
      </c>
      <c r="Q17" s="472">
        <v>62653</v>
      </c>
      <c r="R17" s="507"/>
      <c r="S17" s="495">
        <f>75184*10/12</f>
        <v>62653.333333333336</v>
      </c>
      <c r="U17" s="472">
        <v>62653</v>
      </c>
      <c r="V17" s="507"/>
      <c r="W17" s="495">
        <f>75184*10/12</f>
        <v>62653.333333333336</v>
      </c>
      <c r="Y17" s="472">
        <v>62653</v>
      </c>
      <c r="Z17" s="459"/>
      <c r="AA17" s="540">
        <f>SUM(C17,E17,G17,I17,K17,M17,O17,Q17,S17,U17,W17,Y17)</f>
        <v>751838.33333333337</v>
      </c>
    </row>
    <row r="18" spans="1:30" s="464" customFormat="1" ht="13.5" thickBot="1" x14ac:dyDescent="0.25">
      <c r="A18" s="463" t="s">
        <v>138</v>
      </c>
      <c r="B18" s="508"/>
      <c r="C18" s="509">
        <f>SUM(C15:C17)</f>
        <v>226154.17333333337</v>
      </c>
      <c r="D18" s="456"/>
      <c r="E18" s="460">
        <f>SUM(E15:E17)</f>
        <v>197152.07333333333</v>
      </c>
      <c r="F18" s="522"/>
      <c r="G18" s="509">
        <f>SUM(G15:G17)</f>
        <v>243899.45333333334</v>
      </c>
      <c r="H18" s="456"/>
      <c r="I18" s="460">
        <f>SUM(I15:I17)</f>
        <v>229967.33</v>
      </c>
      <c r="J18" s="522"/>
      <c r="K18" s="509">
        <f>SUM(K15:K17)</f>
        <v>200450.71333333335</v>
      </c>
      <c r="L18" s="456"/>
      <c r="M18" s="460">
        <f>SUM(M15:M17)</f>
        <v>219595.66999999998</v>
      </c>
      <c r="N18" s="522"/>
      <c r="O18" s="509">
        <f>SUM(O15:O17)</f>
        <v>228430.52333333335</v>
      </c>
      <c r="P18" s="456"/>
      <c r="Q18" s="460">
        <f>SUM(Q15:Q17)</f>
        <v>206742.59</v>
      </c>
      <c r="R18" s="522"/>
      <c r="S18" s="509">
        <f>SUM(S15:S17)</f>
        <v>224273.79333333333</v>
      </c>
      <c r="T18" s="456"/>
      <c r="U18" s="460">
        <f>SUM(U15:U17)</f>
        <v>243697.38</v>
      </c>
      <c r="V18" s="522"/>
      <c r="W18" s="509">
        <f>SUM(W15:W17)</f>
        <v>212570.91333333336</v>
      </c>
      <c r="X18" s="456"/>
      <c r="Y18" s="460">
        <f>SUM(Y15:Y17)</f>
        <v>217318.43</v>
      </c>
      <c r="Z18" s="457"/>
      <c r="AA18" s="461">
        <f>SUM(C18,E18,G18,I18,K18,M18,O18,Q18,S18,U18,W18,Y18)</f>
        <v>2650253.0433333339</v>
      </c>
    </row>
    <row r="19" spans="1:30" s="176" customFormat="1" ht="13.5" thickTop="1" x14ac:dyDescent="0.2">
      <c r="A19" s="168"/>
      <c r="B19" s="494"/>
      <c r="C19" s="510"/>
      <c r="D19" s="182"/>
      <c r="E19" s="195"/>
      <c r="F19" s="496"/>
      <c r="G19" s="510"/>
      <c r="H19" s="182"/>
      <c r="I19" s="195"/>
      <c r="J19" s="496"/>
      <c r="K19" s="510"/>
      <c r="L19" s="182"/>
      <c r="M19" s="195"/>
      <c r="N19" s="496"/>
      <c r="O19" s="510"/>
      <c r="P19" s="182"/>
      <c r="Q19" s="195"/>
      <c r="R19" s="496"/>
      <c r="S19" s="510"/>
      <c r="T19" s="182"/>
      <c r="U19" s="195"/>
      <c r="V19" s="496"/>
      <c r="W19" s="510"/>
      <c r="X19" s="182"/>
      <c r="Y19" s="195"/>
      <c r="Z19" s="290"/>
      <c r="AA19" s="291"/>
    </row>
    <row r="20" spans="1:30" s="176" customFormat="1" x14ac:dyDescent="0.2">
      <c r="A20" s="169" t="s">
        <v>105</v>
      </c>
      <c r="B20" s="498"/>
      <c r="C20" s="511">
        <v>3586061.13</v>
      </c>
      <c r="D20" s="209"/>
      <c r="E20" s="211">
        <v>3174528</v>
      </c>
      <c r="F20" s="498"/>
      <c r="G20" s="511">
        <v>4153301.38</v>
      </c>
      <c r="H20" s="209"/>
      <c r="I20" s="211">
        <v>3841925.04</v>
      </c>
      <c r="J20" s="498"/>
      <c r="K20" s="511">
        <v>2981211.6</v>
      </c>
      <c r="L20" s="209"/>
      <c r="M20" s="211">
        <v>3383488.86</v>
      </c>
      <c r="N20" s="498"/>
      <c r="O20" s="529">
        <v>3710597.32</v>
      </c>
      <c r="P20" s="209"/>
      <c r="Q20" s="211">
        <v>3317545.58</v>
      </c>
      <c r="R20" s="498"/>
      <c r="S20" s="511">
        <v>3097868.71</v>
      </c>
      <c r="T20" s="209"/>
      <c r="U20" s="211">
        <v>4093357.68</v>
      </c>
      <c r="V20" s="498"/>
      <c r="W20" s="511">
        <v>3356965.22</v>
      </c>
      <c r="X20" s="209"/>
      <c r="Y20" s="211">
        <v>3596476.49</v>
      </c>
      <c r="Z20" s="292"/>
      <c r="AA20" s="293">
        <f>SUM(C20,E20,G20,I20,K20,M20,O20,Q20,S20,U20,W20,Y20)</f>
        <v>42293327.010000005</v>
      </c>
      <c r="AD20" s="203"/>
    </row>
    <row r="21" spans="1:30" x14ac:dyDescent="0.2">
      <c r="A21" s="45" t="s">
        <v>111</v>
      </c>
      <c r="B21" s="512"/>
      <c r="C21" s="513">
        <f>C15/C20</f>
        <v>4.5593433595483644E-2</v>
      </c>
      <c r="D21" s="307"/>
      <c r="E21" s="308">
        <f>E15/E20</f>
        <v>4.2368106376759002E-2</v>
      </c>
      <c r="F21" s="512"/>
      <c r="G21" s="513">
        <f>G15/G20</f>
        <v>4.3639048414059467E-2</v>
      </c>
      <c r="H21" s="307"/>
      <c r="I21" s="308">
        <f>I15/I20</f>
        <v>4.354960814123536E-2</v>
      </c>
      <c r="J21" s="512"/>
      <c r="K21" s="513">
        <f>K15/K20</f>
        <v>4.6221938758053943E-2</v>
      </c>
      <c r="L21" s="307"/>
      <c r="M21" s="308">
        <f>M15/M20</f>
        <v>4.6384863817757624E-2</v>
      </c>
      <c r="N21" s="512"/>
      <c r="O21" s="513">
        <f>O15/O20</f>
        <v>4.4676685639389188E-2</v>
      </c>
      <c r="P21" s="307"/>
      <c r="Q21" s="308">
        <f>Q15/Q20</f>
        <v>4.343258789529577E-2</v>
      </c>
      <c r="R21" s="512"/>
      <c r="S21" s="513">
        <f>S15/S20</f>
        <v>5.2171500838071344E-2</v>
      </c>
      <c r="T21" s="307"/>
      <c r="U21" s="308">
        <f>U15/U20</f>
        <v>4.4228819994054369E-2</v>
      </c>
      <c r="V21" s="512"/>
      <c r="W21" s="513">
        <f>W15/W20</f>
        <v>4.4658663457943129E-2</v>
      </c>
      <c r="X21" s="307"/>
      <c r="Y21" s="308">
        <f>Y15/Y20</f>
        <v>4.3004710424229681E-2</v>
      </c>
      <c r="Z21" s="309"/>
      <c r="AA21" s="310">
        <f>AA15/AA20</f>
        <v>4.4886861455735824E-2</v>
      </c>
    </row>
    <row r="22" spans="1:30" x14ac:dyDescent="0.2">
      <c r="A22" s="45"/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307"/>
      <c r="Y22" s="308"/>
      <c r="Z22" s="307"/>
      <c r="AA22" s="308"/>
    </row>
    <row r="23" spans="1:30" s="176" customFormat="1" x14ac:dyDescent="0.2">
      <c r="A23" s="203"/>
      <c r="B23" s="179"/>
      <c r="C23" s="178"/>
      <c r="D23" s="174"/>
      <c r="E23" s="178"/>
      <c r="F23" s="174"/>
      <c r="G23" s="178"/>
      <c r="H23" s="174"/>
      <c r="I23" s="178"/>
      <c r="J23" s="174"/>
      <c r="K23" s="178"/>
      <c r="L23" s="174"/>
      <c r="M23" s="178"/>
      <c r="N23" s="174"/>
      <c r="O23" s="178"/>
      <c r="P23" s="174"/>
      <c r="R23" s="179"/>
      <c r="T23" s="179"/>
      <c r="U23" s="187"/>
      <c r="V23" s="174"/>
      <c r="W23" s="178"/>
      <c r="X23" s="174"/>
      <c r="Z23" s="179"/>
    </row>
    <row r="24" spans="1:30" s="451" customFormat="1" ht="29.25" customHeight="1" x14ac:dyDescent="0.2">
      <c r="A24" s="448" t="s">
        <v>152</v>
      </c>
      <c r="B24" s="449"/>
      <c r="C24" s="213">
        <f>C18-C8</f>
        <v>56274.523333333374</v>
      </c>
      <c r="D24" s="449"/>
      <c r="E24" s="213">
        <f>E18-E8</f>
        <v>37210.223333333328</v>
      </c>
      <c r="F24" s="449"/>
      <c r="G24" s="213">
        <f>G18-G8</f>
        <v>73211.223333333328</v>
      </c>
      <c r="H24" s="449"/>
      <c r="I24" s="213">
        <f>I18-I8</f>
        <v>47058.76999999999</v>
      </c>
      <c r="J24" s="449"/>
      <c r="K24" s="213">
        <f>K18-K8</f>
        <v>58443.13333333336</v>
      </c>
      <c r="L24" s="449"/>
      <c r="M24" s="213">
        <f>M18-M8</f>
        <v>60466.619999999995</v>
      </c>
      <c r="N24" s="449"/>
      <c r="O24" s="213">
        <f>O18-O8</f>
        <v>77167.133333333331</v>
      </c>
      <c r="P24" s="449"/>
      <c r="Q24" s="213">
        <f>Q18-Q8</f>
        <v>60520.239999999991</v>
      </c>
      <c r="R24" s="449"/>
      <c r="S24" s="213">
        <f>S18-S8</f>
        <v>64041.903333333321</v>
      </c>
      <c r="T24" s="449"/>
      <c r="U24" s="213">
        <f>U18-U8</f>
        <v>73409.440000000002</v>
      </c>
      <c r="V24" s="449"/>
      <c r="W24" s="213">
        <f>W18-W8</f>
        <v>48140.423333333369</v>
      </c>
      <c r="X24" s="449"/>
      <c r="Y24" s="213">
        <f>Y18-Y8</f>
        <v>52799.850000000006</v>
      </c>
      <c r="Z24" s="449"/>
      <c r="AA24" s="213">
        <f>AA18-AA8</f>
        <v>708743.48333333363</v>
      </c>
      <c r="AB24" s="450"/>
      <c r="AC24" s="450"/>
      <c r="AD24" s="450"/>
    </row>
    <row r="25" spans="1:30" s="176" customFormat="1" x14ac:dyDescent="0.2">
      <c r="A25" s="203"/>
      <c r="B25" s="179"/>
      <c r="D25" s="179"/>
      <c r="F25" s="179"/>
      <c r="H25" s="179"/>
      <c r="J25" s="179"/>
      <c r="L25" s="179"/>
      <c r="N25" s="179"/>
      <c r="O25" s="178"/>
      <c r="P25" s="174"/>
      <c r="R25" s="179"/>
      <c r="T25" s="179"/>
      <c r="U25" s="197"/>
      <c r="V25" s="179"/>
      <c r="X25" s="179"/>
      <c r="Z25" s="179"/>
    </row>
    <row r="26" spans="1:30" s="176" customFormat="1" x14ac:dyDescent="0.2">
      <c r="A26" s="488" t="s">
        <v>153</v>
      </c>
      <c r="B26" s="179"/>
      <c r="D26" s="179"/>
      <c r="F26" s="179"/>
      <c r="H26" s="179"/>
      <c r="J26" s="179"/>
      <c r="L26" s="179"/>
      <c r="N26" s="179"/>
      <c r="O26" s="178"/>
      <c r="P26" s="174"/>
      <c r="R26" s="179"/>
      <c r="T26" s="179"/>
      <c r="U26" s="197"/>
      <c r="V26" s="179"/>
      <c r="X26" s="179"/>
      <c r="Z26" s="179"/>
      <c r="AA26" s="306"/>
    </row>
    <row r="27" spans="1:30" s="480" customFormat="1" ht="31.5" customHeight="1" x14ac:dyDescent="0.2">
      <c r="A27" s="487" t="s">
        <v>154</v>
      </c>
      <c r="B27" s="475"/>
      <c r="C27" s="476"/>
      <c r="D27" s="477"/>
      <c r="E27" s="476"/>
      <c r="F27" s="477"/>
      <c r="G27" s="476"/>
      <c r="H27" s="477"/>
      <c r="I27" s="476"/>
      <c r="J27" s="479"/>
      <c r="L27" s="479"/>
      <c r="N27" s="479"/>
      <c r="O27" s="481"/>
      <c r="P27" s="482"/>
      <c r="R27" s="479"/>
      <c r="T27" s="479"/>
      <c r="U27" s="483"/>
      <c r="V27" s="479"/>
      <c r="X27" s="479"/>
      <c r="Z27" s="479"/>
    </row>
    <row r="28" spans="1:30" s="480" customFormat="1" x14ac:dyDescent="0.2">
      <c r="A28" s="474"/>
      <c r="B28" s="475"/>
      <c r="C28" s="476"/>
      <c r="D28" s="477"/>
      <c r="E28" s="476"/>
      <c r="F28" s="477"/>
      <c r="G28" s="476"/>
      <c r="H28" s="477"/>
      <c r="I28" s="476"/>
      <c r="J28" s="479"/>
      <c r="L28" s="479"/>
      <c r="N28" s="479"/>
      <c r="O28" s="481"/>
      <c r="P28" s="482"/>
      <c r="R28" s="479"/>
      <c r="T28" s="479"/>
      <c r="U28" s="483"/>
      <c r="V28" s="479"/>
      <c r="X28" s="479"/>
      <c r="Z28" s="479"/>
    </row>
    <row r="29" spans="1:30" x14ac:dyDescent="0.2">
      <c r="A29" s="478"/>
      <c r="B29"/>
      <c r="C29" s="88"/>
      <c r="D29"/>
      <c r="E29" s="96"/>
      <c r="F29"/>
      <c r="G29" s="96"/>
      <c r="H29"/>
      <c r="I29" s="88"/>
      <c r="J29"/>
      <c r="K29" s="88"/>
      <c r="L29" s="26"/>
      <c r="M29" s="90"/>
      <c r="N29"/>
      <c r="O29" s="96"/>
      <c r="P29" s="6"/>
      <c r="Q29" s="88"/>
      <c r="R29" s="71"/>
      <c r="S29" s="88"/>
      <c r="T29" s="6"/>
      <c r="U29" s="88"/>
      <c r="V29" s="6"/>
      <c r="W29" s="88"/>
      <c r="X29" s="6"/>
      <c r="Y29"/>
      <c r="Z29"/>
      <c r="AA29"/>
    </row>
    <row r="30" spans="1:30" x14ac:dyDescent="0.2">
      <c r="A30" s="216"/>
      <c r="B30" s="51"/>
      <c r="C30" s="88"/>
      <c r="D30"/>
      <c r="E30" s="96"/>
      <c r="F30"/>
      <c r="G30" s="96"/>
      <c r="H30"/>
      <c r="I30" s="88"/>
      <c r="J30"/>
      <c r="K30" s="88"/>
      <c r="L30" s="26"/>
      <c r="M30" s="90"/>
      <c r="N30"/>
      <c r="O30" s="96"/>
      <c r="P30" s="6"/>
      <c r="Q30" s="88"/>
      <c r="R30" s="71"/>
      <c r="S30" s="88"/>
      <c r="T30" s="6"/>
      <c r="U30" s="88"/>
      <c r="V30" s="6"/>
      <c r="W30" s="88"/>
      <c r="X30" s="6"/>
      <c r="Y30"/>
      <c r="Z30"/>
      <c r="AA30"/>
    </row>
    <row r="31" spans="1:30" x14ac:dyDescent="0.2">
      <c r="A31" s="216"/>
      <c r="B31"/>
      <c r="C31" s="88"/>
      <c r="D31"/>
      <c r="E31" s="96"/>
      <c r="F31"/>
      <c r="G31" s="96"/>
      <c r="H31"/>
      <c r="I31" s="88"/>
      <c r="J31"/>
      <c r="K31" s="88"/>
      <c r="L31" s="26"/>
      <c r="M31" s="90"/>
      <c r="N31"/>
      <c r="O31" s="96"/>
      <c r="P31" s="6"/>
      <c r="Q31" s="88"/>
      <c r="R31" s="71"/>
      <c r="S31" s="88"/>
      <c r="T31" s="6"/>
      <c r="U31" s="88"/>
      <c r="V31" s="6"/>
      <c r="W31" s="88"/>
      <c r="X31" s="38"/>
      <c r="Y31"/>
      <c r="Z31"/>
      <c r="AA31"/>
    </row>
    <row r="32" spans="1:30" x14ac:dyDescent="0.2">
      <c r="A32" s="478"/>
      <c r="B32"/>
      <c r="C32" s="88"/>
      <c r="D32"/>
      <c r="E32" s="96"/>
      <c r="F32"/>
      <c r="G32" s="96"/>
      <c r="H32"/>
      <c r="I32" s="88"/>
      <c r="J32"/>
      <c r="K32" s="88"/>
      <c r="L32" s="26"/>
      <c r="M32" s="90"/>
      <c r="N32"/>
      <c r="O32" s="96"/>
      <c r="P32" s="6"/>
      <c r="Q32" s="88"/>
      <c r="R32" s="71"/>
      <c r="S32" s="88"/>
      <c r="T32" s="6"/>
      <c r="U32" s="88"/>
      <c r="V32" s="6"/>
      <c r="W32" s="88"/>
      <c r="X32" s="6"/>
      <c r="Y32"/>
      <c r="Z32"/>
      <c r="AA32"/>
    </row>
    <row r="33" spans="1:27" x14ac:dyDescent="0.2">
      <c r="A33" s="216"/>
      <c r="B33"/>
      <c r="C33" s="88"/>
      <c r="D33"/>
      <c r="E33" s="96"/>
      <c r="F33"/>
      <c r="G33" s="96"/>
      <c r="H33"/>
      <c r="I33" s="88"/>
      <c r="J33"/>
      <c r="K33" s="88"/>
      <c r="L33" s="26"/>
      <c r="M33" s="90"/>
      <c r="N33"/>
      <c r="O33" s="96"/>
      <c r="P33" s="6"/>
      <c r="Q33" s="88"/>
      <c r="R33" s="80"/>
      <c r="S33" s="88"/>
      <c r="T33" s="6"/>
      <c r="U33" s="88"/>
      <c r="V33" s="6"/>
      <c r="W33" s="88"/>
      <c r="X33" s="6"/>
      <c r="Y33"/>
      <c r="Z33"/>
      <c r="AA33"/>
    </row>
  </sheetData>
  <pageMargins left="0.7" right="0.7" top="0.75" bottom="0.75" header="0.3" footer="0.3"/>
  <pageSetup paperSize="5" scale="59" orientation="landscape" r:id="rId1"/>
  <headerFooter>
    <oddFooter>&amp;L&amp;Z&amp;F&amp;RDanielle Meier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workbookViewId="0"/>
  </sheetViews>
  <sheetFormatPr defaultRowHeight="12.75" x14ac:dyDescent="0.2"/>
  <cols>
    <col min="1" max="1" width="42.28515625" style="203" customWidth="1"/>
    <col min="2" max="2" width="7.140625" style="88" customWidth="1"/>
    <col min="3" max="3" width="12.28515625" bestFit="1" customWidth="1"/>
    <col min="4" max="4" width="6.5703125" style="88" customWidth="1"/>
    <col min="5" max="5" width="11.85546875" customWidth="1"/>
    <col min="6" max="6" width="6.5703125" style="88" customWidth="1"/>
    <col min="7" max="7" width="11.85546875" customWidth="1"/>
    <col min="8" max="8" width="6.5703125" style="96" customWidth="1"/>
    <col min="9" max="9" width="12.42578125" customWidth="1"/>
    <col min="10" max="10" width="6.5703125" style="96" customWidth="1"/>
    <col min="11" max="11" width="11.7109375" customWidth="1"/>
    <col min="12" max="12" width="6.5703125" style="88" customWidth="1"/>
    <col min="13" max="13" width="11.85546875" customWidth="1"/>
    <col min="14" max="14" width="6.42578125" style="88" customWidth="1"/>
    <col min="15" max="15" width="11.28515625" style="26" customWidth="1"/>
    <col min="16" max="16" width="6.5703125" style="90" customWidth="1"/>
    <col min="17" max="17" width="11.28515625" customWidth="1"/>
    <col min="18" max="18" width="6.5703125" style="96" customWidth="1"/>
    <col min="19" max="19" width="11.28515625" style="6" customWidth="1"/>
    <col min="20" max="20" width="6.5703125" style="88" customWidth="1"/>
    <col min="21" max="21" width="11.140625" style="71" customWidth="1"/>
    <col min="22" max="22" width="6.42578125" style="88" customWidth="1"/>
    <col min="23" max="23" width="12.42578125" style="6" customWidth="1"/>
    <col min="24" max="24" width="8.5703125" style="88" customWidth="1"/>
    <col min="25" max="25" width="11.28515625" style="6" bestFit="1" customWidth="1"/>
    <col min="26" max="26" width="8.5703125" style="88" customWidth="1"/>
    <col min="27" max="27" width="14" style="6" bestFit="1" customWidth="1"/>
  </cols>
  <sheetData>
    <row r="1" spans="1:31" ht="18" x14ac:dyDescent="0.25">
      <c r="A1" s="202" t="s">
        <v>144</v>
      </c>
    </row>
    <row r="2" spans="1:31" ht="18" x14ac:dyDescent="0.25">
      <c r="A2" s="202"/>
    </row>
    <row r="3" spans="1:31" s="6" customFormat="1" x14ac:dyDescent="0.2">
      <c r="B3" s="225"/>
      <c r="C3" s="266" t="s">
        <v>21</v>
      </c>
      <c r="D3" s="88"/>
      <c r="E3" s="268" t="s">
        <v>22</v>
      </c>
      <c r="F3" s="225"/>
      <c r="G3" s="266" t="s">
        <v>23</v>
      </c>
      <c r="H3" s="88"/>
      <c r="I3" s="268" t="s">
        <v>24</v>
      </c>
      <c r="J3" s="225"/>
      <c r="K3" s="266" t="s">
        <v>25</v>
      </c>
      <c r="L3" s="88"/>
      <c r="M3" s="268" t="s">
        <v>20</v>
      </c>
      <c r="N3" s="225"/>
      <c r="O3" s="271" t="s">
        <v>4</v>
      </c>
      <c r="P3" s="90"/>
      <c r="Q3" s="268" t="s">
        <v>5</v>
      </c>
      <c r="R3" s="225"/>
      <c r="S3" s="266" t="s">
        <v>6</v>
      </c>
      <c r="T3" s="88"/>
      <c r="U3" s="269" t="s">
        <v>7</v>
      </c>
      <c r="V3" s="225"/>
      <c r="W3" s="266" t="s">
        <v>8</v>
      </c>
      <c r="X3" s="88"/>
      <c r="Y3" s="268" t="s">
        <v>9</v>
      </c>
      <c r="Z3" s="272" t="s">
        <v>29</v>
      </c>
      <c r="AA3" s="273" t="s">
        <v>29</v>
      </c>
    </row>
    <row r="4" spans="1:31" x14ac:dyDescent="0.2">
      <c r="B4" s="225" t="s">
        <v>38</v>
      </c>
      <c r="C4" s="266" t="s">
        <v>65</v>
      </c>
      <c r="D4" s="88" t="s">
        <v>38</v>
      </c>
      <c r="E4" s="268" t="s">
        <v>65</v>
      </c>
      <c r="F4" s="225" t="s">
        <v>38</v>
      </c>
      <c r="G4" s="266" t="s">
        <v>65</v>
      </c>
      <c r="H4" s="88" t="s">
        <v>38</v>
      </c>
      <c r="I4" s="268" t="s">
        <v>65</v>
      </c>
      <c r="J4" s="225" t="s">
        <v>38</v>
      </c>
      <c r="K4" s="266" t="s">
        <v>65</v>
      </c>
      <c r="L4" s="88" t="s">
        <v>38</v>
      </c>
      <c r="M4" s="268" t="s">
        <v>65</v>
      </c>
      <c r="N4" s="225" t="s">
        <v>38</v>
      </c>
      <c r="O4" s="271" t="s">
        <v>65</v>
      </c>
      <c r="P4" s="88" t="s">
        <v>38</v>
      </c>
      <c r="Q4" s="267" t="s">
        <v>65</v>
      </c>
      <c r="R4" s="225" t="s">
        <v>38</v>
      </c>
      <c r="S4" s="266" t="s">
        <v>65</v>
      </c>
      <c r="T4" s="88" t="s">
        <v>38</v>
      </c>
      <c r="U4" s="270" t="s">
        <v>65</v>
      </c>
      <c r="V4" s="225" t="s">
        <v>38</v>
      </c>
      <c r="W4" s="266" t="s">
        <v>65</v>
      </c>
      <c r="X4" s="88" t="s">
        <v>38</v>
      </c>
      <c r="Y4" s="268" t="s">
        <v>65</v>
      </c>
      <c r="Z4" s="272" t="s">
        <v>38</v>
      </c>
      <c r="AA4" s="274" t="s">
        <v>52</v>
      </c>
    </row>
    <row r="5" spans="1:31" x14ac:dyDescent="0.2">
      <c r="A5" s="169" t="s">
        <v>60</v>
      </c>
      <c r="B5" s="225"/>
      <c r="C5" s="227"/>
      <c r="D5" s="90"/>
      <c r="E5" s="26"/>
      <c r="F5" s="247"/>
      <c r="G5" s="248"/>
      <c r="H5" s="98"/>
      <c r="J5" s="255"/>
      <c r="K5" s="227"/>
      <c r="N5" s="225"/>
      <c r="O5" s="248"/>
      <c r="R5" s="255"/>
      <c r="S5" s="226"/>
      <c r="U5" s="77"/>
      <c r="V5" s="247"/>
      <c r="W5" s="262"/>
      <c r="X5" s="90"/>
      <c r="Z5" s="272"/>
      <c r="AA5" s="273"/>
    </row>
    <row r="6" spans="1:31" s="176" customFormat="1" ht="13.5" thickBot="1" x14ac:dyDescent="0.25">
      <c r="A6" s="169" t="s">
        <v>136</v>
      </c>
      <c r="B6" s="228">
        <v>6858</v>
      </c>
      <c r="C6" s="229"/>
      <c r="D6" s="177">
        <v>6969</v>
      </c>
      <c r="E6" s="178"/>
      <c r="F6" s="249">
        <v>6755</v>
      </c>
      <c r="G6" s="231"/>
      <c r="H6" s="177">
        <v>7311</v>
      </c>
      <c r="J6" s="228">
        <v>6075</v>
      </c>
      <c r="K6" s="229"/>
      <c r="L6" s="175">
        <v>5365</v>
      </c>
      <c r="N6" s="228">
        <v>6471</v>
      </c>
      <c r="O6" s="229"/>
      <c r="P6" s="175">
        <v>6602</v>
      </c>
      <c r="R6" s="228">
        <v>6596</v>
      </c>
      <c r="S6" s="229"/>
      <c r="T6" s="175">
        <v>7644</v>
      </c>
      <c r="V6" s="228">
        <v>7425</v>
      </c>
      <c r="W6" s="229"/>
      <c r="X6" s="175">
        <v>7012</v>
      </c>
      <c r="Z6" s="275">
        <f>B6+D6+F6+H6+J6+L6+N6+P6+R6+T6+V6+X6</f>
        <v>81083</v>
      </c>
      <c r="AA6" s="276"/>
    </row>
    <row r="7" spans="1:31" s="176" customFormat="1" ht="13.5" thickTop="1" x14ac:dyDescent="0.2">
      <c r="A7" s="4" t="s">
        <v>56</v>
      </c>
      <c r="B7" s="230"/>
      <c r="C7" s="231">
        <v>139550.92000000001</v>
      </c>
      <c r="D7" s="174"/>
      <c r="E7" s="180">
        <v>140947.14000000001</v>
      </c>
      <c r="F7" s="250"/>
      <c r="G7" s="251">
        <v>139398.1</v>
      </c>
      <c r="H7" s="174"/>
      <c r="I7" s="180">
        <v>151887.54999999999</v>
      </c>
      <c r="J7" s="250"/>
      <c r="K7" s="251">
        <v>132894.94</v>
      </c>
      <c r="L7" s="174"/>
      <c r="M7" s="66">
        <v>118683.95</v>
      </c>
      <c r="N7" s="230"/>
      <c r="O7" s="231">
        <v>143293</v>
      </c>
      <c r="P7" s="174"/>
      <c r="Q7" s="178">
        <v>146282.87</v>
      </c>
      <c r="R7" s="250"/>
      <c r="S7" s="231">
        <v>145325.03</v>
      </c>
      <c r="T7" s="174"/>
      <c r="U7" s="178">
        <v>168377.9</v>
      </c>
      <c r="V7" s="250"/>
      <c r="W7" s="231">
        <v>163890.26</v>
      </c>
      <c r="X7" s="174"/>
      <c r="Y7" s="181">
        <v>155325.18</v>
      </c>
      <c r="Z7" s="277"/>
      <c r="AA7" s="280">
        <f>SUM(C7:Y7)</f>
        <v>1745856.8399999996</v>
      </c>
    </row>
    <row r="8" spans="1:31" s="176" customFormat="1" x14ac:dyDescent="0.2">
      <c r="A8" s="4" t="s">
        <v>34</v>
      </c>
      <c r="B8" s="232"/>
      <c r="C8" s="233">
        <v>9996</v>
      </c>
      <c r="D8" s="184"/>
      <c r="E8" s="183">
        <v>10096.5</v>
      </c>
      <c r="F8" s="252"/>
      <c r="G8" s="233">
        <v>9985.5</v>
      </c>
      <c r="H8" s="184"/>
      <c r="I8" s="183">
        <v>10877.75</v>
      </c>
      <c r="J8" s="252"/>
      <c r="K8" s="233">
        <v>7574.5</v>
      </c>
      <c r="L8" s="184"/>
      <c r="M8" s="67">
        <v>6643.75</v>
      </c>
      <c r="N8" s="232"/>
      <c r="O8" s="257">
        <v>8021</v>
      </c>
      <c r="P8" s="184"/>
      <c r="Q8" s="185">
        <v>8183.75</v>
      </c>
      <c r="R8" s="252"/>
      <c r="S8" s="257">
        <v>8134.75</v>
      </c>
      <c r="T8" s="184"/>
      <c r="U8" s="185">
        <v>9414.5</v>
      </c>
      <c r="V8" s="252"/>
      <c r="W8" s="257">
        <v>9188.0400000000009</v>
      </c>
      <c r="X8" s="184"/>
      <c r="Y8" s="183">
        <v>8558</v>
      </c>
      <c r="Z8" s="279"/>
      <c r="AA8" s="280">
        <f>SUM(C8:Y8)</f>
        <v>106674.04000000001</v>
      </c>
    </row>
    <row r="9" spans="1:31" s="176" customFormat="1" x14ac:dyDescent="0.2">
      <c r="A9" s="169" t="s">
        <v>62</v>
      </c>
      <c r="B9" s="234"/>
      <c r="C9" s="235">
        <f>SUM(C7:C8)</f>
        <v>149546.92000000001</v>
      </c>
      <c r="D9" s="220"/>
      <c r="E9" s="210">
        <f>SUM(E7:E8)</f>
        <v>151043.64000000001</v>
      </c>
      <c r="F9" s="253"/>
      <c r="G9" s="235">
        <f>SUM(G7:G8)</f>
        <v>149383.6</v>
      </c>
      <c r="H9" s="220"/>
      <c r="I9" s="210">
        <f>SUM(I7:I8)</f>
        <v>162765.29999999999</v>
      </c>
      <c r="J9" s="253"/>
      <c r="K9" s="235">
        <f>SUM(K7:K8)</f>
        <v>140469.44</v>
      </c>
      <c r="L9" s="220"/>
      <c r="M9" s="210">
        <f>SUM(M7:M8)</f>
        <v>125327.7</v>
      </c>
      <c r="N9" s="253"/>
      <c r="O9" s="235">
        <f>SUM(O7:O8)</f>
        <v>151314</v>
      </c>
      <c r="P9" s="220"/>
      <c r="Q9" s="210">
        <f>SUM(Q7:Q8)</f>
        <v>154466.62</v>
      </c>
      <c r="R9" s="253"/>
      <c r="S9" s="235">
        <f>SUM(S7:S8)</f>
        <v>153459.78</v>
      </c>
      <c r="T9" s="220"/>
      <c r="U9" s="221">
        <f>U7+U8</f>
        <v>177792.4</v>
      </c>
      <c r="V9" s="253"/>
      <c r="W9" s="263">
        <f>W7+W8</f>
        <v>173078.30000000002</v>
      </c>
      <c r="X9" s="220"/>
      <c r="Y9" s="222">
        <f>SUM(Y7:Y8)</f>
        <v>163883.18</v>
      </c>
      <c r="Z9" s="281"/>
      <c r="AA9" s="447">
        <f>SUM(C9,E9,G9,I9,K9,M9,O9,Q9,S9,U9,W9,Y9)</f>
        <v>1852530.8799999997</v>
      </c>
    </row>
    <row r="10" spans="1:31" s="176" customFormat="1" x14ac:dyDescent="0.2">
      <c r="A10" s="203"/>
      <c r="B10" s="230"/>
      <c r="C10" s="231"/>
      <c r="D10" s="179"/>
      <c r="F10" s="230"/>
      <c r="G10" s="229"/>
      <c r="H10" s="179"/>
      <c r="J10" s="230"/>
      <c r="K10" s="229"/>
      <c r="L10" s="179"/>
      <c r="N10" s="230"/>
      <c r="O10" s="258"/>
      <c r="P10" s="188"/>
      <c r="R10" s="230"/>
      <c r="S10" s="229"/>
      <c r="T10" s="179"/>
      <c r="U10" s="189"/>
      <c r="V10" s="264"/>
      <c r="W10" s="229"/>
      <c r="X10" s="179"/>
      <c r="Z10" s="277"/>
      <c r="AA10" s="276"/>
    </row>
    <row r="11" spans="1:31" s="190" customFormat="1" x14ac:dyDescent="0.2">
      <c r="A11" s="205" t="s">
        <v>129</v>
      </c>
      <c r="B11" s="236"/>
      <c r="C11" s="237"/>
      <c r="D11" s="173"/>
      <c r="F11" s="250"/>
      <c r="G11" s="254"/>
      <c r="H11" s="173"/>
      <c r="J11" s="256"/>
      <c r="K11" s="254"/>
      <c r="L11" s="173"/>
      <c r="N11" s="256"/>
      <c r="O11" s="259"/>
      <c r="P11" s="172"/>
      <c r="R11" s="256"/>
      <c r="S11" s="254"/>
      <c r="T11" s="173"/>
      <c r="U11" s="191"/>
      <c r="V11" s="236"/>
      <c r="W11" s="259"/>
      <c r="X11" s="173"/>
      <c r="Z11" s="283"/>
      <c r="AA11" s="284"/>
    </row>
    <row r="12" spans="1:31" s="224" customFormat="1" x14ac:dyDescent="0.2">
      <c r="A12" s="311" t="s">
        <v>132</v>
      </c>
      <c r="B12" s="238">
        <v>1887</v>
      </c>
      <c r="C12" s="239">
        <v>71666.05</v>
      </c>
      <c r="D12" s="172">
        <v>1788</v>
      </c>
      <c r="E12" s="444">
        <v>76575.64</v>
      </c>
      <c r="F12" s="238">
        <v>1989</v>
      </c>
      <c r="G12" s="239">
        <v>111524.66</v>
      </c>
      <c r="H12" s="224">
        <v>2054</v>
      </c>
      <c r="I12" s="223">
        <v>84763.46</v>
      </c>
      <c r="J12" s="238">
        <v>1821</v>
      </c>
      <c r="K12" s="239">
        <v>73874.19</v>
      </c>
      <c r="L12" s="224">
        <v>1745</v>
      </c>
      <c r="M12" s="223">
        <v>67403.320000000007</v>
      </c>
      <c r="N12" s="238">
        <v>1858</v>
      </c>
      <c r="O12" s="239">
        <v>74179.75</v>
      </c>
      <c r="P12" s="224">
        <v>2060</v>
      </c>
      <c r="Q12" s="223">
        <v>79462.58</v>
      </c>
      <c r="R12" s="238">
        <v>2075</v>
      </c>
      <c r="S12" s="239">
        <v>86352.62</v>
      </c>
      <c r="T12" s="224">
        <v>2157</v>
      </c>
      <c r="U12" s="223">
        <v>85409.11</v>
      </c>
      <c r="V12" s="238">
        <v>2114</v>
      </c>
      <c r="W12" s="239">
        <v>89423.61</v>
      </c>
      <c r="X12" s="224">
        <v>2155</v>
      </c>
      <c r="Y12" s="223">
        <v>80683.820000000007</v>
      </c>
      <c r="Z12" s="285">
        <f t="shared" ref="Z12:Z17" si="0">SUM(B12+D12+F12+H12+J12+L12+N12+P12+R12+T12+V12+X12)</f>
        <v>23703</v>
      </c>
      <c r="AA12" s="286">
        <f t="shared" ref="AA12:AA18" si="1">SUM(C12,E12,G12,I12,K12,M12,O12,Q12,S12,U12,W12,Y12)</f>
        <v>981318.81</v>
      </c>
      <c r="AC12" s="443"/>
      <c r="AD12" s="442"/>
      <c r="AE12" s="442"/>
    </row>
    <row r="13" spans="1:31" s="224" customFormat="1" x14ac:dyDescent="0.2">
      <c r="A13" s="311" t="s">
        <v>133</v>
      </c>
      <c r="B13" s="238">
        <v>24</v>
      </c>
      <c r="C13" s="239">
        <v>2552.66</v>
      </c>
      <c r="D13" s="172">
        <v>13</v>
      </c>
      <c r="E13" s="444">
        <v>1216.05</v>
      </c>
      <c r="F13" s="238">
        <v>42</v>
      </c>
      <c r="G13" s="239">
        <v>3924.12</v>
      </c>
      <c r="H13" s="224">
        <v>14</v>
      </c>
      <c r="I13" s="445">
        <v>3264.96</v>
      </c>
      <c r="J13" s="238">
        <v>7</v>
      </c>
      <c r="K13" s="239">
        <v>877.72</v>
      </c>
      <c r="L13" s="224">
        <v>10</v>
      </c>
      <c r="M13" s="223">
        <v>990.02</v>
      </c>
      <c r="N13" s="238">
        <v>18</v>
      </c>
      <c r="O13" s="239">
        <v>1575.39</v>
      </c>
      <c r="P13" s="224">
        <v>2</v>
      </c>
      <c r="Q13" s="223">
        <v>281.98</v>
      </c>
      <c r="R13" s="238">
        <v>12</v>
      </c>
      <c r="S13" s="239">
        <v>1821.64</v>
      </c>
      <c r="T13" s="224">
        <v>10</v>
      </c>
      <c r="U13" s="223">
        <v>782.43</v>
      </c>
      <c r="V13" s="238">
        <v>18</v>
      </c>
      <c r="W13" s="239">
        <v>1473.61</v>
      </c>
      <c r="X13" s="224">
        <v>20</v>
      </c>
      <c r="Y13" s="223">
        <v>1873.5</v>
      </c>
      <c r="Z13" s="285">
        <f>SUM(B13+D13+F13+H13+J13+L13+N13+P13+R13+T13+V13+X13)</f>
        <v>190</v>
      </c>
      <c r="AA13" s="286">
        <f>SUM(C13,E13,G13,I13,K13,M13,O13,Q13,S13,U13,W13,Y13)</f>
        <v>20634.080000000002</v>
      </c>
      <c r="AC13" s="311"/>
    </row>
    <row r="14" spans="1:31" s="224" customFormat="1" x14ac:dyDescent="0.2">
      <c r="A14" s="311" t="s">
        <v>134</v>
      </c>
      <c r="B14" s="238">
        <v>2469</v>
      </c>
      <c r="C14" s="239">
        <v>174410.28</v>
      </c>
      <c r="D14" s="172">
        <v>1316</v>
      </c>
      <c r="E14" s="444">
        <v>97956.26</v>
      </c>
      <c r="F14" s="238">
        <v>1300</v>
      </c>
      <c r="G14" s="239">
        <v>78881.119999999995</v>
      </c>
      <c r="H14" s="224">
        <v>1637</v>
      </c>
      <c r="I14" s="223">
        <v>66035.61</v>
      </c>
      <c r="J14" s="238">
        <v>1303</v>
      </c>
      <c r="K14" s="239">
        <v>61772.93</v>
      </c>
      <c r="L14" s="224">
        <v>1264</v>
      </c>
      <c r="M14" s="223">
        <v>58433.1</v>
      </c>
      <c r="N14" s="238">
        <v>507</v>
      </c>
      <c r="O14" s="239">
        <v>50615</v>
      </c>
      <c r="P14" s="224">
        <v>1168</v>
      </c>
      <c r="Q14" s="223">
        <v>68852.2</v>
      </c>
      <c r="R14" s="238">
        <v>1458</v>
      </c>
      <c r="S14" s="239">
        <v>93998.3</v>
      </c>
      <c r="T14" s="224">
        <v>1665</v>
      </c>
      <c r="U14" s="223">
        <v>73105</v>
      </c>
      <c r="V14" s="238">
        <v>1482</v>
      </c>
      <c r="W14" s="239">
        <v>69982.67</v>
      </c>
      <c r="X14" s="224">
        <v>2227</v>
      </c>
      <c r="Y14" s="223">
        <v>67943.3</v>
      </c>
      <c r="Z14" s="285">
        <f>SUM(B14+D14+F14+H14+J14+L14+N14+P14+R14+T14+V14+X14)</f>
        <v>17796</v>
      </c>
      <c r="AA14" s="286">
        <f>SUM(C14,E14,G14,I14,K14,M14,O14,Q14,S14,U14,W14,Y14)</f>
        <v>961985.77</v>
      </c>
    </row>
    <row r="15" spans="1:31" s="176" customFormat="1" x14ac:dyDescent="0.2">
      <c r="A15" s="203" t="s">
        <v>135</v>
      </c>
      <c r="B15" s="232">
        <v>2018</v>
      </c>
      <c r="C15" s="231">
        <v>39973</v>
      </c>
      <c r="D15" s="182">
        <v>1999</v>
      </c>
      <c r="E15" s="178">
        <v>33216</v>
      </c>
      <c r="F15" s="232">
        <v>1737</v>
      </c>
      <c r="G15" s="231">
        <v>17956</v>
      </c>
      <c r="H15" s="182">
        <v>2181</v>
      </c>
      <c r="I15" s="178">
        <v>18103</v>
      </c>
      <c r="J15" s="232">
        <v>1825</v>
      </c>
      <c r="K15" s="231">
        <v>14667</v>
      </c>
      <c r="L15" s="182">
        <v>1764</v>
      </c>
      <c r="M15" s="178">
        <v>17409</v>
      </c>
      <c r="N15" s="232">
        <v>2658</v>
      </c>
      <c r="O15" s="231">
        <v>21380</v>
      </c>
      <c r="P15" s="182">
        <v>2463</v>
      </c>
      <c r="Q15" s="178">
        <v>19414</v>
      </c>
      <c r="R15" s="232">
        <v>2057</v>
      </c>
      <c r="S15" s="231">
        <v>17226</v>
      </c>
      <c r="T15" s="182">
        <v>2467</v>
      </c>
      <c r="U15" s="178">
        <v>23185</v>
      </c>
      <c r="V15" s="232">
        <v>1012</v>
      </c>
      <c r="W15" s="231">
        <v>8078</v>
      </c>
      <c r="X15" s="182">
        <v>1054</v>
      </c>
      <c r="Y15" s="178">
        <v>-11</v>
      </c>
      <c r="Z15" s="285">
        <f t="shared" si="0"/>
        <v>23235</v>
      </c>
      <c r="AA15" s="286">
        <f t="shared" si="1"/>
        <v>230596</v>
      </c>
      <c r="AD15" s="203"/>
    </row>
    <row r="16" spans="1:31" s="190" customFormat="1" hidden="1" x14ac:dyDescent="0.2">
      <c r="A16" s="206" t="s">
        <v>93</v>
      </c>
      <c r="B16" s="236"/>
      <c r="C16" s="237"/>
      <c r="D16" s="173"/>
      <c r="F16" s="250"/>
      <c r="G16" s="254"/>
      <c r="H16" s="173"/>
      <c r="J16" s="256"/>
      <c r="K16" s="254"/>
      <c r="L16" s="173"/>
      <c r="N16" s="256"/>
      <c r="O16" s="231"/>
      <c r="P16" s="172"/>
      <c r="R16" s="236"/>
      <c r="S16" s="254"/>
      <c r="T16" s="173"/>
      <c r="U16" s="191"/>
      <c r="V16" s="236"/>
      <c r="W16" s="259"/>
      <c r="X16" s="173"/>
      <c r="Z16" s="283">
        <f t="shared" si="0"/>
        <v>0</v>
      </c>
      <c r="AA16" s="287">
        <f t="shared" si="1"/>
        <v>0</v>
      </c>
    </row>
    <row r="17" spans="1:30" s="176" customFormat="1" hidden="1" x14ac:dyDescent="0.2">
      <c r="A17" s="204" t="s">
        <v>101</v>
      </c>
      <c r="B17" s="232"/>
      <c r="C17" s="235"/>
      <c r="D17" s="184"/>
      <c r="E17" s="192"/>
      <c r="F17" s="252"/>
      <c r="G17" s="243"/>
      <c r="H17" s="184"/>
      <c r="I17" s="192"/>
      <c r="J17" s="252"/>
      <c r="K17" s="243"/>
      <c r="L17" s="184"/>
      <c r="M17" s="192"/>
      <c r="N17" s="252"/>
      <c r="O17" s="260"/>
      <c r="P17" s="186"/>
      <c r="Q17" s="192"/>
      <c r="R17" s="252"/>
      <c r="S17" s="243"/>
      <c r="T17" s="184"/>
      <c r="U17" s="193"/>
      <c r="V17" s="265"/>
      <c r="W17" s="260"/>
      <c r="X17" s="184"/>
      <c r="Y17" s="192"/>
      <c r="Z17" s="283">
        <f t="shared" si="0"/>
        <v>0</v>
      </c>
      <c r="AA17" s="278">
        <f t="shared" si="1"/>
        <v>0</v>
      </c>
    </row>
    <row r="18" spans="1:30" s="176" customFormat="1" ht="13.5" thickBot="1" x14ac:dyDescent="0.25">
      <c r="A18" s="170" t="s">
        <v>64</v>
      </c>
      <c r="B18" s="240">
        <f t="shared" ref="B18:Y18" si="2">SUM(B12:B17)</f>
        <v>6398</v>
      </c>
      <c r="C18" s="241">
        <f t="shared" si="2"/>
        <v>288601.99</v>
      </c>
      <c r="D18" s="219">
        <f t="shared" si="2"/>
        <v>5116</v>
      </c>
      <c r="E18" s="208">
        <f t="shared" si="2"/>
        <v>208963.95</v>
      </c>
      <c r="F18" s="240">
        <f t="shared" si="2"/>
        <v>5068</v>
      </c>
      <c r="G18" s="241">
        <f t="shared" si="2"/>
        <v>212285.9</v>
      </c>
      <c r="H18" s="219">
        <f t="shared" si="2"/>
        <v>5886</v>
      </c>
      <c r="I18" s="194">
        <f t="shared" si="2"/>
        <v>172167.03000000003</v>
      </c>
      <c r="J18" s="240">
        <f t="shared" si="2"/>
        <v>4956</v>
      </c>
      <c r="K18" s="241">
        <f t="shared" si="2"/>
        <v>151191.84</v>
      </c>
      <c r="L18" s="219">
        <f t="shared" si="2"/>
        <v>4783</v>
      </c>
      <c r="M18" s="194">
        <f t="shared" si="2"/>
        <v>144235.44</v>
      </c>
      <c r="N18" s="240">
        <f t="shared" si="2"/>
        <v>5041</v>
      </c>
      <c r="O18" s="241">
        <f t="shared" si="2"/>
        <v>147750.14000000001</v>
      </c>
      <c r="P18" s="219">
        <f t="shared" si="2"/>
        <v>5693</v>
      </c>
      <c r="Q18" s="194">
        <f t="shared" si="2"/>
        <v>168010.76</v>
      </c>
      <c r="R18" s="240">
        <f t="shared" si="2"/>
        <v>5602</v>
      </c>
      <c r="S18" s="241">
        <f t="shared" si="2"/>
        <v>199398.56</v>
      </c>
      <c r="T18" s="219">
        <f t="shared" si="2"/>
        <v>6299</v>
      </c>
      <c r="U18" s="194">
        <f t="shared" si="2"/>
        <v>182481.53999999998</v>
      </c>
      <c r="V18" s="240">
        <f t="shared" si="2"/>
        <v>4626</v>
      </c>
      <c r="W18" s="241">
        <f t="shared" si="2"/>
        <v>168957.89</v>
      </c>
      <c r="X18" s="219">
        <f t="shared" si="2"/>
        <v>5456</v>
      </c>
      <c r="Y18" s="208">
        <f t="shared" si="2"/>
        <v>150489.62</v>
      </c>
      <c r="Z18" s="288">
        <f>B18+D18+F18+H18+J18+L18+N18+P18+R18+T18+V18+X18</f>
        <v>64924</v>
      </c>
      <c r="AA18" s="289">
        <f t="shared" si="1"/>
        <v>2194534.66</v>
      </c>
      <c r="AB18" s="312"/>
      <c r="AC18" s="179"/>
      <c r="AD18" s="306"/>
    </row>
    <row r="19" spans="1:30" s="176" customFormat="1" ht="13.5" thickTop="1" x14ac:dyDescent="0.2">
      <c r="A19" s="168"/>
      <c r="B19" s="230"/>
      <c r="C19" s="242"/>
      <c r="D19" s="182"/>
      <c r="E19" s="195"/>
      <c r="F19" s="232"/>
      <c r="G19" s="242"/>
      <c r="H19" s="182"/>
      <c r="I19" s="195"/>
      <c r="J19" s="232"/>
      <c r="K19" s="242"/>
      <c r="L19" s="182"/>
      <c r="M19" s="195"/>
      <c r="N19" s="232"/>
      <c r="O19" s="242"/>
      <c r="P19" s="182"/>
      <c r="Q19" s="195"/>
      <c r="R19" s="232"/>
      <c r="S19" s="242"/>
      <c r="T19" s="182"/>
      <c r="U19" s="195"/>
      <c r="V19" s="232"/>
      <c r="W19" s="242"/>
      <c r="X19" s="182"/>
      <c r="Y19" s="195"/>
      <c r="Z19" s="290"/>
      <c r="AA19" s="291"/>
    </row>
    <row r="20" spans="1:30" s="176" customFormat="1" x14ac:dyDescent="0.2">
      <c r="A20" s="169" t="s">
        <v>105</v>
      </c>
      <c r="B20" s="234"/>
      <c r="C20" s="244">
        <v>3130308.69</v>
      </c>
      <c r="D20" s="209"/>
      <c r="E20" s="211">
        <v>3133145.67</v>
      </c>
      <c r="F20" s="234"/>
      <c r="G20" s="244">
        <v>3364995.83</v>
      </c>
      <c r="H20" s="209"/>
      <c r="I20" s="211">
        <v>3580545.08</v>
      </c>
      <c r="J20" s="234"/>
      <c r="K20" s="244">
        <v>2946524.81</v>
      </c>
      <c r="L20" s="209"/>
      <c r="M20" s="211">
        <v>2691742.59</v>
      </c>
      <c r="N20" s="234"/>
      <c r="O20" s="261">
        <v>3123469.78</v>
      </c>
      <c r="P20" s="209"/>
      <c r="Q20" s="211">
        <v>3410133.96</v>
      </c>
      <c r="R20" s="234"/>
      <c r="S20" s="244">
        <v>3382361.65</v>
      </c>
      <c r="T20" s="209"/>
      <c r="U20" s="211">
        <v>3707284.07</v>
      </c>
      <c r="V20" s="234"/>
      <c r="W20" s="244">
        <v>3286003.43</v>
      </c>
      <c r="X20" s="209"/>
      <c r="Y20" s="211">
        <v>3224530.49</v>
      </c>
      <c r="Z20" s="292"/>
      <c r="AA20" s="293">
        <f>SUM(C20,E20,G20,I20,K20,M20,O20,Q20,S20,U20,W20,Y20)</f>
        <v>38981046.050000004</v>
      </c>
      <c r="AD20" s="203"/>
    </row>
    <row r="21" spans="1:30" x14ac:dyDescent="0.2">
      <c r="A21" s="45" t="s">
        <v>111</v>
      </c>
      <c r="B21" s="245"/>
      <c r="C21" s="246">
        <f>C18/C20</f>
        <v>9.2196015978219706E-2</v>
      </c>
      <c r="D21" s="307"/>
      <c r="E21" s="308">
        <f>E18/E20</f>
        <v>6.6694616851312893E-2</v>
      </c>
      <c r="F21" s="245"/>
      <c r="G21" s="246">
        <f>G18/G20</f>
        <v>6.3086526915547461E-2</v>
      </c>
      <c r="H21" s="307"/>
      <c r="I21" s="308">
        <f>I18/I20</f>
        <v>4.8084028032960843E-2</v>
      </c>
      <c r="J21" s="245"/>
      <c r="K21" s="246">
        <f>K18/K20</f>
        <v>5.1311918191518639E-2</v>
      </c>
      <c r="L21" s="307"/>
      <c r="M21" s="308">
        <f>M18/M20</f>
        <v>5.3584410536075815E-2</v>
      </c>
      <c r="N21" s="245"/>
      <c r="O21" s="246">
        <f>O18/O20</f>
        <v>4.7303207780675254E-2</v>
      </c>
      <c r="P21" s="307"/>
      <c r="Q21" s="308">
        <f>Q18/Q20</f>
        <v>4.9268082125430643E-2</v>
      </c>
      <c r="R21" s="245"/>
      <c r="S21" s="246">
        <f>S18/S20</f>
        <v>5.8952465949346368E-2</v>
      </c>
      <c r="T21" s="307"/>
      <c r="U21" s="308">
        <f>U18/U20</f>
        <v>4.9222432528619256E-2</v>
      </c>
      <c r="V21" s="245"/>
      <c r="W21" s="246">
        <f>W18/W20</f>
        <v>5.1417441764508444E-2</v>
      </c>
      <c r="X21" s="307"/>
      <c r="Y21" s="308">
        <f>Y18/Y20</f>
        <v>4.6670242525757598E-2</v>
      </c>
      <c r="Z21" s="309"/>
      <c r="AA21" s="310">
        <f>AA18/AA20</f>
        <v>5.6297479990278503E-2</v>
      </c>
    </row>
    <row r="22" spans="1:30" x14ac:dyDescent="0.2">
      <c r="A22" s="45"/>
      <c r="B22" s="307"/>
      <c r="C22" s="308"/>
      <c r="D22" s="307"/>
      <c r="E22" s="308"/>
      <c r="F22" s="307"/>
      <c r="G22" s="308"/>
      <c r="H22" s="307"/>
      <c r="I22" s="308"/>
      <c r="J22" s="307"/>
      <c r="K22" s="308"/>
      <c r="L22" s="307"/>
      <c r="M22" s="308"/>
      <c r="N22" s="307"/>
      <c r="O22" s="308"/>
      <c r="P22" s="307"/>
      <c r="Q22" s="308"/>
      <c r="R22" s="307"/>
      <c r="S22" s="308"/>
      <c r="T22" s="307"/>
      <c r="U22" s="308"/>
      <c r="V22" s="307"/>
      <c r="W22" s="308"/>
      <c r="X22" s="307"/>
      <c r="Y22" s="308"/>
      <c r="Z22" s="307"/>
      <c r="AA22" s="308"/>
    </row>
    <row r="23" spans="1:30" s="176" customFormat="1" x14ac:dyDescent="0.2">
      <c r="A23" s="203"/>
      <c r="B23" s="179"/>
      <c r="C23" s="178"/>
      <c r="D23" s="174"/>
      <c r="E23" s="178"/>
      <c r="F23" s="174"/>
      <c r="G23" s="178"/>
      <c r="H23" s="174"/>
      <c r="I23" s="178"/>
      <c r="J23" s="174"/>
      <c r="K23" s="178"/>
      <c r="L23" s="174"/>
      <c r="M23" s="178"/>
      <c r="N23" s="174"/>
      <c r="O23" s="178"/>
      <c r="P23" s="174"/>
      <c r="R23" s="179"/>
      <c r="T23" s="179"/>
      <c r="U23" s="187"/>
      <c r="V23" s="174"/>
      <c r="W23" s="178"/>
      <c r="X23" s="174"/>
      <c r="Z23" s="179"/>
    </row>
    <row r="24" spans="1:30" s="171" customFormat="1" ht="29.25" customHeight="1" x14ac:dyDescent="0.2">
      <c r="A24" s="305" t="s">
        <v>130</v>
      </c>
      <c r="B24" s="212"/>
      <c r="C24" s="213">
        <f>C18-C9</f>
        <v>139055.06999999998</v>
      </c>
      <c r="D24" s="212"/>
      <c r="E24" s="213">
        <f>E18-E9</f>
        <v>57920.31</v>
      </c>
      <c r="F24" s="212"/>
      <c r="G24" s="213">
        <f>G18-G9</f>
        <v>62902.299999999988</v>
      </c>
      <c r="H24" s="212"/>
      <c r="I24" s="213">
        <f>I18-I9</f>
        <v>9401.7300000000396</v>
      </c>
      <c r="J24" s="212"/>
      <c r="K24" s="213">
        <f>K18-K9</f>
        <v>10722.399999999994</v>
      </c>
      <c r="L24" s="212"/>
      <c r="M24" s="213">
        <f>M18-M9</f>
        <v>18907.740000000005</v>
      </c>
      <c r="N24" s="212"/>
      <c r="O24" s="446">
        <f>O18-O9</f>
        <v>-3563.859999999986</v>
      </c>
      <c r="P24" s="212"/>
      <c r="Q24" s="213">
        <f>Q18-Q9</f>
        <v>13544.140000000014</v>
      </c>
      <c r="R24" s="212"/>
      <c r="S24" s="213">
        <f>S18-S9</f>
        <v>45938.78</v>
      </c>
      <c r="T24" s="212"/>
      <c r="U24" s="213">
        <f>U18-U9</f>
        <v>4689.1399999999849</v>
      </c>
      <c r="V24" s="212"/>
      <c r="W24" s="446">
        <f>W18-W9</f>
        <v>-4120.4100000000035</v>
      </c>
      <c r="X24" s="212"/>
      <c r="Y24" s="446">
        <f>Y18-Y9</f>
        <v>-13393.559999999998</v>
      </c>
      <c r="Z24" s="212"/>
      <c r="AA24" s="213">
        <f>AA18-AA9</f>
        <v>342003.78000000049</v>
      </c>
      <c r="AB24" s="196"/>
      <c r="AC24" s="196"/>
      <c r="AD24" s="196"/>
    </row>
    <row r="25" spans="1:30" s="176" customFormat="1" x14ac:dyDescent="0.2">
      <c r="A25" s="203"/>
      <c r="B25" s="179"/>
      <c r="D25" s="179"/>
      <c r="F25" s="179"/>
      <c r="H25" s="179"/>
      <c r="J25" s="179"/>
      <c r="L25" s="179"/>
      <c r="N25" s="179"/>
      <c r="O25" s="178"/>
      <c r="P25" s="174"/>
      <c r="R25" s="179"/>
      <c r="T25" s="179"/>
      <c r="U25" s="197"/>
      <c r="V25" s="179"/>
      <c r="X25" s="179"/>
      <c r="Z25" s="179"/>
    </row>
    <row r="26" spans="1:30" s="176" customFormat="1" x14ac:dyDescent="0.2">
      <c r="A26" s="218" t="s">
        <v>131</v>
      </c>
      <c r="B26" s="179"/>
      <c r="D26" s="179"/>
      <c r="F26" s="179"/>
      <c r="H26" s="179"/>
      <c r="J26" s="179"/>
      <c r="L26" s="179"/>
      <c r="N26" s="179"/>
      <c r="O26" s="178"/>
      <c r="P26" s="174"/>
      <c r="R26" s="179"/>
      <c r="T26" s="179"/>
      <c r="U26" s="197"/>
      <c r="V26" s="179"/>
      <c r="X26" s="179"/>
      <c r="Z26" s="179"/>
      <c r="AA26" s="306"/>
    </row>
    <row r="27" spans="1:30" s="176" customFormat="1" x14ac:dyDescent="0.2">
      <c r="B27" s="198"/>
      <c r="C27" s="199"/>
      <c r="D27" s="198"/>
      <c r="E27" s="199"/>
      <c r="F27" s="198"/>
      <c r="G27" s="199"/>
      <c r="H27" s="198"/>
      <c r="I27" s="199"/>
      <c r="J27" s="200"/>
      <c r="K27" s="201"/>
      <c r="L27" s="200"/>
      <c r="M27" s="201"/>
      <c r="N27" s="200"/>
      <c r="O27" s="178"/>
      <c r="P27" s="174"/>
      <c r="R27" s="179"/>
      <c r="T27" s="179"/>
      <c r="U27" s="197"/>
      <c r="V27" s="179"/>
      <c r="X27" s="179"/>
      <c r="Z27" s="179"/>
    </row>
    <row r="28" spans="1:30" x14ac:dyDescent="0.2">
      <c r="A28" s="207"/>
    </row>
    <row r="29" spans="1:30" x14ac:dyDescent="0.2">
      <c r="A29" s="214"/>
      <c r="B29" s="215"/>
      <c r="C29" s="216"/>
      <c r="D29" s="215"/>
      <c r="E29" s="216"/>
      <c r="F29" s="215"/>
      <c r="G29" s="216"/>
      <c r="H29" s="217"/>
      <c r="I29" s="216"/>
    </row>
    <row r="32" spans="1:30" x14ac:dyDescent="0.2">
      <c r="A32"/>
      <c r="B32"/>
      <c r="D32"/>
      <c r="E32" s="51"/>
    </row>
    <row r="33" spans="1:27" x14ac:dyDescent="0.2">
      <c r="A33"/>
      <c r="B33"/>
      <c r="D33"/>
      <c r="AA33" s="38"/>
    </row>
    <row r="35" spans="1:27" x14ac:dyDescent="0.2">
      <c r="A35"/>
      <c r="B35"/>
      <c r="D35"/>
      <c r="U35" s="80"/>
    </row>
  </sheetData>
  <pageMargins left="0.95" right="0.95" top="1" bottom="1" header="0.3" footer="0.3"/>
  <pageSetup paperSize="5" scale="54" orientation="landscape" r:id="rId1"/>
  <headerFooter>
    <oddFooter>&amp;L&amp;Z&amp;F&amp;RPrepared by Danielle Meier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workbookViewId="0"/>
  </sheetViews>
  <sheetFormatPr defaultRowHeight="12.75" x14ac:dyDescent="0.2"/>
  <cols>
    <col min="1" max="1" width="42.140625" style="203" customWidth="1"/>
    <col min="2" max="2" width="5.5703125" style="88" bestFit="1" customWidth="1"/>
    <col min="3" max="3" width="11.28515625" bestFit="1" customWidth="1"/>
    <col min="4" max="4" width="6.5703125" style="88" customWidth="1"/>
    <col min="5" max="5" width="11.85546875" customWidth="1"/>
    <col min="6" max="6" width="6.5703125" style="88" customWidth="1"/>
    <col min="7" max="7" width="11.85546875" customWidth="1"/>
    <col min="8" max="8" width="6.5703125" style="96" customWidth="1"/>
    <col min="9" max="9" width="12.42578125" customWidth="1"/>
    <col min="10" max="10" width="6.5703125" style="96" customWidth="1"/>
    <col min="11" max="11" width="11.7109375" customWidth="1"/>
    <col min="12" max="12" width="6.5703125" style="88" customWidth="1"/>
    <col min="13" max="13" width="11.85546875" customWidth="1"/>
    <col min="14" max="14" width="6.42578125" style="88" customWidth="1"/>
    <col min="15" max="15" width="11.28515625" style="26" customWidth="1"/>
    <col min="16" max="16" width="6.5703125" style="90" customWidth="1"/>
    <col min="17" max="17" width="11.28515625" customWidth="1"/>
    <col min="18" max="18" width="6.5703125" style="96" customWidth="1"/>
    <col min="19" max="19" width="11.28515625" style="6" customWidth="1"/>
    <col min="20" max="20" width="6.5703125" style="88" customWidth="1"/>
    <col min="21" max="21" width="11.28515625" style="71" customWidth="1"/>
    <col min="22" max="22" width="6.42578125" style="88" customWidth="1"/>
    <col min="23" max="23" width="12.42578125" style="6" customWidth="1"/>
    <col min="24" max="24" width="6.5703125" style="88" customWidth="1"/>
    <col min="25" max="25" width="11.5703125" style="6" customWidth="1"/>
    <col min="26" max="26" width="9" style="88" customWidth="1"/>
    <col min="27" max="27" width="12.28515625" style="6" bestFit="1" customWidth="1"/>
  </cols>
  <sheetData>
    <row r="2" spans="1:31" ht="18" x14ac:dyDescent="0.25">
      <c r="A2" s="202" t="s">
        <v>128</v>
      </c>
    </row>
    <row r="3" spans="1:31" ht="18" x14ac:dyDescent="0.25">
      <c r="A3" s="202"/>
    </row>
    <row r="4" spans="1:31" s="6" customFormat="1" x14ac:dyDescent="0.2">
      <c r="B4" s="225"/>
      <c r="C4" s="266" t="s">
        <v>21</v>
      </c>
      <c r="D4" s="88"/>
      <c r="E4" s="268" t="s">
        <v>22</v>
      </c>
      <c r="F4" s="225"/>
      <c r="G4" s="266" t="s">
        <v>23</v>
      </c>
      <c r="H4" s="88"/>
      <c r="I4" s="268" t="s">
        <v>24</v>
      </c>
      <c r="J4" s="225"/>
      <c r="K4" s="266" t="s">
        <v>25</v>
      </c>
      <c r="L4" s="88"/>
      <c r="M4" s="268" t="s">
        <v>20</v>
      </c>
      <c r="N4" s="225"/>
      <c r="O4" s="271" t="s">
        <v>4</v>
      </c>
      <c r="P4" s="90"/>
      <c r="Q4" s="268" t="s">
        <v>5</v>
      </c>
      <c r="R4" s="225"/>
      <c r="S4" s="266" t="s">
        <v>6</v>
      </c>
      <c r="T4" s="88"/>
      <c r="U4" s="269" t="s">
        <v>7</v>
      </c>
      <c r="V4" s="225"/>
      <c r="W4" s="266" t="s">
        <v>8</v>
      </c>
      <c r="X4" s="88"/>
      <c r="Y4" s="268" t="s">
        <v>9</v>
      </c>
      <c r="Z4" s="272" t="s">
        <v>29</v>
      </c>
      <c r="AA4" s="273" t="s">
        <v>29</v>
      </c>
    </row>
    <row r="5" spans="1:31" x14ac:dyDescent="0.2">
      <c r="B5" s="225" t="s">
        <v>38</v>
      </c>
      <c r="C5" s="266" t="s">
        <v>65</v>
      </c>
      <c r="D5" s="88" t="s">
        <v>38</v>
      </c>
      <c r="E5" s="268" t="s">
        <v>65</v>
      </c>
      <c r="F5" s="225" t="s">
        <v>38</v>
      </c>
      <c r="G5" s="266" t="s">
        <v>65</v>
      </c>
      <c r="H5" s="88" t="s">
        <v>38</v>
      </c>
      <c r="I5" s="268" t="s">
        <v>65</v>
      </c>
      <c r="J5" s="225" t="s">
        <v>38</v>
      </c>
      <c r="K5" s="266" t="s">
        <v>65</v>
      </c>
      <c r="L5" s="88" t="s">
        <v>38</v>
      </c>
      <c r="M5" s="268" t="s">
        <v>65</v>
      </c>
      <c r="N5" s="225" t="s">
        <v>38</v>
      </c>
      <c r="O5" s="271" t="s">
        <v>65</v>
      </c>
      <c r="P5" s="88" t="s">
        <v>38</v>
      </c>
      <c r="Q5" s="267" t="s">
        <v>65</v>
      </c>
      <c r="R5" s="225" t="s">
        <v>38</v>
      </c>
      <c r="S5" s="266" t="s">
        <v>65</v>
      </c>
      <c r="T5" s="88" t="s">
        <v>38</v>
      </c>
      <c r="U5" s="270" t="s">
        <v>65</v>
      </c>
      <c r="V5" s="225" t="s">
        <v>38</v>
      </c>
      <c r="W5" s="266" t="s">
        <v>65</v>
      </c>
      <c r="X5" s="88" t="s">
        <v>38</v>
      </c>
      <c r="Y5" s="268" t="s">
        <v>65</v>
      </c>
      <c r="Z5" s="272" t="s">
        <v>38</v>
      </c>
      <c r="AA5" s="274" t="s">
        <v>52</v>
      </c>
    </row>
    <row r="6" spans="1:31" x14ac:dyDescent="0.2">
      <c r="A6" s="169" t="s">
        <v>60</v>
      </c>
      <c r="B6" s="225"/>
      <c r="C6" s="227"/>
      <c r="D6" s="90"/>
      <c r="E6" s="26"/>
      <c r="F6" s="247"/>
      <c r="G6" s="248"/>
      <c r="H6" s="98"/>
      <c r="J6" s="255"/>
      <c r="K6" s="227"/>
      <c r="N6" s="225"/>
      <c r="O6" s="248"/>
      <c r="R6" s="255"/>
      <c r="S6" s="226"/>
      <c r="U6" s="77"/>
      <c r="V6" s="247"/>
      <c r="W6" s="262"/>
      <c r="X6" s="90"/>
      <c r="Z6" s="272"/>
      <c r="AA6" s="273"/>
    </row>
    <row r="7" spans="1:31" s="176" customFormat="1" ht="13.5" thickBot="1" x14ac:dyDescent="0.25">
      <c r="A7" s="169" t="s">
        <v>136</v>
      </c>
      <c r="B7" s="228">
        <v>7853</v>
      </c>
      <c r="C7" s="229"/>
      <c r="D7" s="177">
        <v>7637</v>
      </c>
      <c r="E7" s="178"/>
      <c r="F7" s="249">
        <v>6972</v>
      </c>
      <c r="G7" s="231"/>
      <c r="H7" s="177">
        <v>7866</v>
      </c>
      <c r="J7" s="228">
        <v>6995</v>
      </c>
      <c r="K7" s="229"/>
      <c r="L7" s="175">
        <v>5810</v>
      </c>
      <c r="N7" s="228">
        <v>6948</v>
      </c>
      <c r="O7" s="229"/>
      <c r="P7" s="175">
        <v>6663</v>
      </c>
      <c r="R7" s="228">
        <v>6872</v>
      </c>
      <c r="S7" s="229"/>
      <c r="T7" s="175">
        <v>7418</v>
      </c>
      <c r="V7" s="228">
        <v>7342</v>
      </c>
      <c r="W7" s="229"/>
      <c r="X7" s="175">
        <v>6503</v>
      </c>
      <c r="Z7" s="275">
        <f>B7+D7+F7+H7+J7+L7+N7+P7+R7+T7+V7+X7</f>
        <v>84879</v>
      </c>
      <c r="AA7" s="276"/>
    </row>
    <row r="8" spans="1:31" s="176" customFormat="1" ht="13.5" thickTop="1" x14ac:dyDescent="0.2">
      <c r="A8" s="4" t="s">
        <v>56</v>
      </c>
      <c r="B8" s="230"/>
      <c r="C8" s="231">
        <v>150208.72</v>
      </c>
      <c r="D8" s="174"/>
      <c r="E8" s="180">
        <v>154648.51999999999</v>
      </c>
      <c r="F8" s="250"/>
      <c r="G8" s="251">
        <v>139942.46</v>
      </c>
      <c r="H8" s="174"/>
      <c r="I8" s="180">
        <v>164462.76</v>
      </c>
      <c r="J8" s="250"/>
      <c r="K8" s="251">
        <v>144630.43</v>
      </c>
      <c r="L8" s="174"/>
      <c r="M8" s="66">
        <v>118813.56</v>
      </c>
      <c r="N8" s="230"/>
      <c r="O8" s="231">
        <v>141133.45000000001</v>
      </c>
      <c r="P8" s="174"/>
      <c r="Q8" s="178">
        <v>133995.06</v>
      </c>
      <c r="R8" s="250"/>
      <c r="S8" s="231">
        <v>140480.97</v>
      </c>
      <c r="T8" s="174"/>
      <c r="U8" s="178">
        <v>139883.29</v>
      </c>
      <c r="V8" s="250"/>
      <c r="W8" s="231">
        <v>146181.20000000001</v>
      </c>
      <c r="X8" s="174"/>
      <c r="Y8" s="181">
        <v>124517.9</v>
      </c>
      <c r="Z8" s="277"/>
      <c r="AA8" s="278">
        <f>SUM(C8:Y8)</f>
        <v>1698898.3199999998</v>
      </c>
    </row>
    <row r="9" spans="1:31" s="176" customFormat="1" x14ac:dyDescent="0.2">
      <c r="A9" s="4" t="s">
        <v>34</v>
      </c>
      <c r="B9" s="232"/>
      <c r="C9" s="233">
        <v>11222.52</v>
      </c>
      <c r="D9" s="184"/>
      <c r="E9" s="183">
        <v>11352</v>
      </c>
      <c r="F9" s="252"/>
      <c r="G9" s="233">
        <v>10350.5</v>
      </c>
      <c r="H9" s="184"/>
      <c r="I9" s="183">
        <v>11781</v>
      </c>
      <c r="J9" s="252"/>
      <c r="K9" s="233">
        <v>10360.5</v>
      </c>
      <c r="L9" s="184"/>
      <c r="M9" s="67">
        <v>8511</v>
      </c>
      <c r="N9" s="232"/>
      <c r="O9" s="257">
        <v>10110</v>
      </c>
      <c r="P9" s="184"/>
      <c r="Q9" s="185">
        <v>9576.06</v>
      </c>
      <c r="R9" s="252"/>
      <c r="S9" s="257">
        <v>10111.44</v>
      </c>
      <c r="T9" s="184"/>
      <c r="U9" s="185">
        <v>10267.56</v>
      </c>
      <c r="V9" s="252"/>
      <c r="W9" s="257">
        <v>10652.84</v>
      </c>
      <c r="X9" s="184"/>
      <c r="Y9" s="183">
        <v>9240.1</v>
      </c>
      <c r="Z9" s="279"/>
      <c r="AA9" s="280">
        <f>SUM(C9:Y9)</f>
        <v>123535.52</v>
      </c>
    </row>
    <row r="10" spans="1:31" s="176" customFormat="1" x14ac:dyDescent="0.2">
      <c r="A10" s="169" t="s">
        <v>62</v>
      </c>
      <c r="B10" s="234"/>
      <c r="C10" s="235">
        <f>SUM(C8:C9)</f>
        <v>161431.24</v>
      </c>
      <c r="D10" s="220"/>
      <c r="E10" s="210">
        <f>SUM(E8:E9)</f>
        <v>166000.51999999999</v>
      </c>
      <c r="F10" s="253"/>
      <c r="G10" s="235">
        <f>SUM(G8:G9)</f>
        <v>150292.96</v>
      </c>
      <c r="H10" s="220"/>
      <c r="I10" s="210">
        <f>SUM(I8:I9)</f>
        <v>176243.76</v>
      </c>
      <c r="J10" s="253"/>
      <c r="K10" s="235">
        <f>SUM(K8:K9)</f>
        <v>154990.93</v>
      </c>
      <c r="L10" s="220"/>
      <c r="M10" s="210">
        <f>SUM(M8:M9)</f>
        <v>127324.56</v>
      </c>
      <c r="N10" s="253"/>
      <c r="O10" s="235">
        <f>SUM(O8:O9)</f>
        <v>151243.45000000001</v>
      </c>
      <c r="P10" s="220"/>
      <c r="Q10" s="210">
        <f>SUM(Q8:Q9)</f>
        <v>143571.12</v>
      </c>
      <c r="R10" s="253"/>
      <c r="S10" s="235">
        <f>SUM(S8:S9)</f>
        <v>150592.41</v>
      </c>
      <c r="T10" s="220"/>
      <c r="U10" s="221">
        <f>U8+U9</f>
        <v>150150.85</v>
      </c>
      <c r="V10" s="253"/>
      <c r="W10" s="263">
        <f>W8+W9</f>
        <v>156834.04</v>
      </c>
      <c r="X10" s="220"/>
      <c r="Y10" s="222">
        <f>SUM(Y8:Y9)</f>
        <v>133758</v>
      </c>
      <c r="Z10" s="281"/>
      <c r="AA10" s="282">
        <f>SUM(C10,E10,G10,I10,K10,M10,O10,Q10,S10,U10,W10,Y10)</f>
        <v>1822433.84</v>
      </c>
    </row>
    <row r="11" spans="1:31" s="176" customFormat="1" x14ac:dyDescent="0.2">
      <c r="A11" s="203"/>
      <c r="B11" s="230"/>
      <c r="C11" s="231"/>
      <c r="D11" s="179"/>
      <c r="F11" s="230"/>
      <c r="G11" s="229"/>
      <c r="H11" s="179"/>
      <c r="J11" s="230"/>
      <c r="K11" s="229"/>
      <c r="L11" s="179"/>
      <c r="N11" s="230"/>
      <c r="O11" s="258"/>
      <c r="P11" s="188"/>
      <c r="R11" s="230"/>
      <c r="S11" s="229"/>
      <c r="T11" s="179"/>
      <c r="U11" s="189"/>
      <c r="V11" s="264"/>
      <c r="W11" s="229"/>
      <c r="X11" s="179"/>
      <c r="Z11" s="277"/>
      <c r="AA11" s="276"/>
    </row>
    <row r="12" spans="1:31" s="190" customFormat="1" x14ac:dyDescent="0.2">
      <c r="A12" s="205" t="s">
        <v>129</v>
      </c>
      <c r="B12" s="236"/>
      <c r="C12" s="237"/>
      <c r="D12" s="173"/>
      <c r="F12" s="250"/>
      <c r="G12" s="254"/>
      <c r="H12" s="173"/>
      <c r="J12" s="256"/>
      <c r="K12" s="254"/>
      <c r="L12" s="173"/>
      <c r="N12" s="256"/>
      <c r="O12" s="259"/>
      <c r="P12" s="172"/>
      <c r="R12" s="256"/>
      <c r="S12" s="254"/>
      <c r="T12" s="173"/>
      <c r="U12" s="191"/>
      <c r="V12" s="236"/>
      <c r="W12" s="259"/>
      <c r="X12" s="173"/>
      <c r="Z12" s="283"/>
      <c r="AA12" s="284"/>
    </row>
    <row r="13" spans="1:31" s="224" customFormat="1" x14ac:dyDescent="0.2">
      <c r="A13" s="311" t="s">
        <v>132</v>
      </c>
      <c r="B13" s="238">
        <v>2719</v>
      </c>
      <c r="C13" s="239">
        <v>95796.5</v>
      </c>
      <c r="D13" s="172">
        <v>2798</v>
      </c>
      <c r="E13" s="444">
        <v>89649.600000000006</v>
      </c>
      <c r="F13" s="238">
        <v>2461</v>
      </c>
      <c r="G13" s="239">
        <v>80952.820000000007</v>
      </c>
      <c r="H13" s="224">
        <v>3065</v>
      </c>
      <c r="I13" s="223">
        <v>102776.71</v>
      </c>
      <c r="J13" s="238">
        <v>2667</v>
      </c>
      <c r="K13" s="239">
        <v>88501.15</v>
      </c>
      <c r="L13" s="224">
        <v>2446</v>
      </c>
      <c r="M13" s="223">
        <v>79902.02</v>
      </c>
      <c r="N13" s="238">
        <v>1846</v>
      </c>
      <c r="O13" s="239">
        <v>102291.48</v>
      </c>
      <c r="P13" s="224">
        <v>1966</v>
      </c>
      <c r="Q13" s="223">
        <v>101491.57</v>
      </c>
      <c r="R13" s="238">
        <v>2251</v>
      </c>
      <c r="S13" s="239">
        <v>93531.61</v>
      </c>
      <c r="T13" s="224">
        <v>1927</v>
      </c>
      <c r="U13" s="223">
        <v>98657.16</v>
      </c>
      <c r="V13" s="238">
        <v>2330</v>
      </c>
      <c r="W13" s="239">
        <v>99325.46</v>
      </c>
      <c r="X13" s="224">
        <v>1872</v>
      </c>
      <c r="Y13" s="223">
        <v>89379.06</v>
      </c>
      <c r="Z13" s="285">
        <f t="shared" ref="Z13:Z18" si="0">SUM(B13+D13+F13+H13+J13+L13+N13+P13+R13+T13+V13+X13)</f>
        <v>28348</v>
      </c>
      <c r="AA13" s="286">
        <f t="shared" ref="AA13:AA19" si="1">SUM(C13,E13,G13,I13,K13,M13,O13,Q13,S13,U13,W13,Y13)</f>
        <v>1122255.1400000001</v>
      </c>
      <c r="AC13" s="443"/>
      <c r="AD13" s="442"/>
      <c r="AE13" s="442"/>
    </row>
    <row r="14" spans="1:31" s="224" customFormat="1" x14ac:dyDescent="0.2">
      <c r="A14" s="311" t="s">
        <v>133</v>
      </c>
      <c r="B14" s="238">
        <v>42</v>
      </c>
      <c r="C14" s="239">
        <v>4988.68</v>
      </c>
      <c r="D14" s="172">
        <v>43</v>
      </c>
      <c r="E14" s="444">
        <v>7892.43</v>
      </c>
      <c r="F14" s="238">
        <v>53</v>
      </c>
      <c r="G14" s="239">
        <v>5832.88</v>
      </c>
      <c r="H14" s="224">
        <v>72</v>
      </c>
      <c r="I14" s="223">
        <v>8854.98</v>
      </c>
      <c r="J14" s="238">
        <v>66</v>
      </c>
      <c r="K14" s="239">
        <v>6187.03</v>
      </c>
      <c r="L14" s="224">
        <v>52</v>
      </c>
      <c r="M14" s="223">
        <v>5020.96</v>
      </c>
      <c r="N14" s="238">
        <v>36</v>
      </c>
      <c r="O14" s="239">
        <v>2393.9</v>
      </c>
      <c r="P14" s="224">
        <v>30</v>
      </c>
      <c r="Q14" s="223">
        <v>2899.81</v>
      </c>
      <c r="R14" s="238">
        <v>49</v>
      </c>
      <c r="S14" s="239">
        <v>5707.6</v>
      </c>
      <c r="T14" s="224">
        <v>33</v>
      </c>
      <c r="U14" s="223">
        <v>4431.66</v>
      </c>
      <c r="V14" s="238">
        <v>23</v>
      </c>
      <c r="W14" s="239">
        <v>3100.83</v>
      </c>
      <c r="X14" s="224">
        <v>2374</v>
      </c>
      <c r="Y14" s="223">
        <v>184262.97</v>
      </c>
      <c r="Z14" s="285">
        <f>SUM(B14+D14+F14+H14+J14+L14+N14+P14+R14+T14+V14+X14)</f>
        <v>2873</v>
      </c>
      <c r="AA14" s="286">
        <f>SUM(C14,E14,G14,I14,K14,M14,O14,Q14,S14,U14,W14,Y14)</f>
        <v>241573.72999999998</v>
      </c>
      <c r="AC14" s="311"/>
    </row>
    <row r="15" spans="1:31" s="224" customFormat="1" x14ac:dyDescent="0.2">
      <c r="A15" s="311" t="s">
        <v>134</v>
      </c>
      <c r="B15" s="238">
        <v>3434</v>
      </c>
      <c r="C15" s="239">
        <v>204816.3</v>
      </c>
      <c r="D15" s="172">
        <v>3744</v>
      </c>
      <c r="E15" s="444">
        <v>235524.4</v>
      </c>
      <c r="F15" s="238">
        <v>3294</v>
      </c>
      <c r="G15" s="239">
        <v>194102.5</v>
      </c>
      <c r="H15" s="224">
        <v>4106</v>
      </c>
      <c r="I15" s="223">
        <v>243563.49</v>
      </c>
      <c r="J15" s="238">
        <v>3717</v>
      </c>
      <c r="K15" s="239">
        <v>205235.05</v>
      </c>
      <c r="L15" s="224">
        <v>2951</v>
      </c>
      <c r="M15" s="223">
        <v>151534.01999999999</v>
      </c>
      <c r="N15" s="238">
        <v>1940</v>
      </c>
      <c r="O15" s="239">
        <v>193560.37</v>
      </c>
      <c r="P15" s="224">
        <v>1979</v>
      </c>
      <c r="Q15" s="223">
        <v>196203.24</v>
      </c>
      <c r="R15" s="238">
        <v>2779</v>
      </c>
      <c r="S15" s="239">
        <v>185883.57</v>
      </c>
      <c r="T15" s="224">
        <v>2356</v>
      </c>
      <c r="U15" s="223">
        <v>189866.91</v>
      </c>
      <c r="V15" s="238">
        <v>2761</v>
      </c>
      <c r="W15" s="239">
        <v>213318.13</v>
      </c>
      <c r="X15" s="224">
        <v>22</v>
      </c>
      <c r="Y15" s="223">
        <v>2052.14</v>
      </c>
      <c r="Z15" s="285">
        <f>SUM(B15+D15+F15+H15+J15+L15+N15+P15+R15+T15+V15+X15)</f>
        <v>33083</v>
      </c>
      <c r="AA15" s="286">
        <f>SUM(C15,E15,G15,I15,K15,M15,O15,Q15,S15,U15,W15,Y15)</f>
        <v>2215660.12</v>
      </c>
    </row>
    <row r="16" spans="1:31" s="176" customFormat="1" x14ac:dyDescent="0.2">
      <c r="A16" s="203" t="s">
        <v>135</v>
      </c>
      <c r="B16" s="232">
        <v>3141</v>
      </c>
      <c r="C16" s="231">
        <v>65317</v>
      </c>
      <c r="D16" s="182">
        <v>3375</v>
      </c>
      <c r="E16" s="178">
        <v>65715</v>
      </c>
      <c r="F16" s="232">
        <v>3176</v>
      </c>
      <c r="G16" s="231">
        <v>60889</v>
      </c>
      <c r="H16" s="182">
        <v>3772</v>
      </c>
      <c r="I16" s="178">
        <v>74587</v>
      </c>
      <c r="J16" s="232">
        <v>3185</v>
      </c>
      <c r="K16" s="231">
        <v>60421</v>
      </c>
      <c r="L16" s="182">
        <v>2918</v>
      </c>
      <c r="M16" s="178">
        <v>63990</v>
      </c>
      <c r="N16" s="232">
        <v>1782</v>
      </c>
      <c r="O16" s="231">
        <v>53778</v>
      </c>
      <c r="P16" s="182">
        <v>1861</v>
      </c>
      <c r="Q16" s="178">
        <v>58681.5</v>
      </c>
      <c r="R16" s="232">
        <v>1612</v>
      </c>
      <c r="S16" s="231">
        <v>51243</v>
      </c>
      <c r="T16" s="182">
        <v>2191</v>
      </c>
      <c r="U16" s="178">
        <v>50037</v>
      </c>
      <c r="V16" s="232">
        <v>2195</v>
      </c>
      <c r="W16" s="231">
        <v>57162</v>
      </c>
      <c r="X16" s="182">
        <v>1180</v>
      </c>
      <c r="Y16" s="178">
        <v>47555</v>
      </c>
      <c r="Z16" s="285">
        <f t="shared" si="0"/>
        <v>30388</v>
      </c>
      <c r="AA16" s="286">
        <f t="shared" si="1"/>
        <v>709375.5</v>
      </c>
      <c r="AD16" s="203"/>
    </row>
    <row r="17" spans="1:30" s="190" customFormat="1" hidden="1" x14ac:dyDescent="0.2">
      <c r="A17" s="206" t="s">
        <v>93</v>
      </c>
      <c r="B17" s="236"/>
      <c r="C17" s="237"/>
      <c r="D17" s="173"/>
      <c r="F17" s="250"/>
      <c r="G17" s="254"/>
      <c r="H17" s="173"/>
      <c r="J17" s="256"/>
      <c r="K17" s="254"/>
      <c r="L17" s="173"/>
      <c r="N17" s="256"/>
      <c r="O17" s="231"/>
      <c r="P17" s="172"/>
      <c r="R17" s="236"/>
      <c r="S17" s="254"/>
      <c r="T17" s="173"/>
      <c r="U17" s="191"/>
      <c r="V17" s="236"/>
      <c r="W17" s="259"/>
      <c r="X17" s="173"/>
      <c r="Z17" s="283">
        <f t="shared" si="0"/>
        <v>0</v>
      </c>
      <c r="AA17" s="287">
        <f t="shared" si="1"/>
        <v>0</v>
      </c>
    </row>
    <row r="18" spans="1:30" s="176" customFormat="1" hidden="1" x14ac:dyDescent="0.2">
      <c r="A18" s="204" t="s">
        <v>101</v>
      </c>
      <c r="B18" s="232"/>
      <c r="C18" s="235"/>
      <c r="D18" s="184"/>
      <c r="E18" s="192"/>
      <c r="F18" s="252"/>
      <c r="G18" s="243"/>
      <c r="H18" s="184"/>
      <c r="I18" s="192"/>
      <c r="J18" s="252"/>
      <c r="K18" s="243"/>
      <c r="L18" s="184"/>
      <c r="M18" s="192"/>
      <c r="N18" s="252"/>
      <c r="O18" s="260"/>
      <c r="P18" s="186"/>
      <c r="Q18" s="192"/>
      <c r="R18" s="252"/>
      <c r="S18" s="243"/>
      <c r="T18" s="184"/>
      <c r="U18" s="193"/>
      <c r="V18" s="265"/>
      <c r="W18" s="260"/>
      <c r="X18" s="184"/>
      <c r="Y18" s="192"/>
      <c r="Z18" s="283">
        <f t="shared" si="0"/>
        <v>0</v>
      </c>
      <c r="AA18" s="278">
        <f t="shared" si="1"/>
        <v>0</v>
      </c>
    </row>
    <row r="19" spans="1:30" s="176" customFormat="1" ht="13.5" thickBot="1" x14ac:dyDescent="0.25">
      <c r="A19" s="170" t="s">
        <v>64</v>
      </c>
      <c r="B19" s="240">
        <f t="shared" ref="B19:Y19" si="2">SUM(B13:B18)</f>
        <v>9336</v>
      </c>
      <c r="C19" s="241">
        <f t="shared" si="2"/>
        <v>370918.48</v>
      </c>
      <c r="D19" s="219">
        <f t="shared" si="2"/>
        <v>9960</v>
      </c>
      <c r="E19" s="208">
        <f t="shared" si="2"/>
        <v>398781.43</v>
      </c>
      <c r="F19" s="240">
        <f t="shared" si="2"/>
        <v>8984</v>
      </c>
      <c r="G19" s="241">
        <f t="shared" si="2"/>
        <v>341777.2</v>
      </c>
      <c r="H19" s="219">
        <f t="shared" si="2"/>
        <v>11015</v>
      </c>
      <c r="I19" s="194">
        <f t="shared" si="2"/>
        <v>429782.18</v>
      </c>
      <c r="J19" s="240">
        <f t="shared" si="2"/>
        <v>9635</v>
      </c>
      <c r="K19" s="241">
        <f t="shared" si="2"/>
        <v>360344.23</v>
      </c>
      <c r="L19" s="219">
        <f t="shared" si="2"/>
        <v>8367</v>
      </c>
      <c r="M19" s="194">
        <f t="shared" si="2"/>
        <v>300447</v>
      </c>
      <c r="N19" s="240">
        <f t="shared" si="2"/>
        <v>5604</v>
      </c>
      <c r="O19" s="241">
        <f t="shared" si="2"/>
        <v>352023.75</v>
      </c>
      <c r="P19" s="219">
        <f t="shared" si="2"/>
        <v>5836</v>
      </c>
      <c r="Q19" s="194">
        <f t="shared" si="2"/>
        <v>359276.12</v>
      </c>
      <c r="R19" s="240">
        <f t="shared" si="2"/>
        <v>6691</v>
      </c>
      <c r="S19" s="241">
        <f t="shared" si="2"/>
        <v>336365.78</v>
      </c>
      <c r="T19" s="219">
        <f t="shared" si="2"/>
        <v>6507</v>
      </c>
      <c r="U19" s="194">
        <f t="shared" si="2"/>
        <v>342992.73</v>
      </c>
      <c r="V19" s="240">
        <f t="shared" si="2"/>
        <v>7309</v>
      </c>
      <c r="W19" s="241">
        <f t="shared" si="2"/>
        <v>372906.42000000004</v>
      </c>
      <c r="X19" s="219">
        <f t="shared" si="2"/>
        <v>5448</v>
      </c>
      <c r="Y19" s="208">
        <f t="shared" si="2"/>
        <v>323249.17000000004</v>
      </c>
      <c r="Z19" s="288">
        <f>B19+D19+F19+H19+J19+L19+N19+P19+R19+T19+V19+X19</f>
        <v>94692</v>
      </c>
      <c r="AA19" s="289">
        <f t="shared" si="1"/>
        <v>4288864.49</v>
      </c>
      <c r="AB19" s="312"/>
      <c r="AC19" s="179"/>
      <c r="AD19" s="306"/>
    </row>
    <row r="20" spans="1:30" s="176" customFormat="1" ht="13.5" thickTop="1" x14ac:dyDescent="0.2">
      <c r="A20" s="168"/>
      <c r="B20" s="230"/>
      <c r="C20" s="242"/>
      <c r="D20" s="182"/>
      <c r="E20" s="195"/>
      <c r="F20" s="232"/>
      <c r="G20" s="242"/>
      <c r="H20" s="182"/>
      <c r="I20" s="195"/>
      <c r="J20" s="232"/>
      <c r="K20" s="242"/>
      <c r="L20" s="182"/>
      <c r="M20" s="195"/>
      <c r="N20" s="232"/>
      <c r="O20" s="242"/>
      <c r="P20" s="182"/>
      <c r="Q20" s="195"/>
      <c r="R20" s="232"/>
      <c r="S20" s="242"/>
      <c r="T20" s="182"/>
      <c r="U20" s="195"/>
      <c r="V20" s="232"/>
      <c r="W20" s="242"/>
      <c r="X20" s="182"/>
      <c r="Y20" s="195"/>
      <c r="Z20" s="290"/>
      <c r="AA20" s="291"/>
    </row>
    <row r="21" spans="1:30" s="176" customFormat="1" x14ac:dyDescent="0.2">
      <c r="A21" s="169" t="s">
        <v>105</v>
      </c>
      <c r="B21" s="234"/>
      <c r="C21" s="244">
        <v>3130686.83</v>
      </c>
      <c r="D21" s="209"/>
      <c r="E21" s="211">
        <v>3221437.71</v>
      </c>
      <c r="F21" s="234"/>
      <c r="G21" s="244">
        <v>2833421.93</v>
      </c>
      <c r="H21" s="209"/>
      <c r="I21" s="211">
        <v>3947531.54</v>
      </c>
      <c r="J21" s="234"/>
      <c r="K21" s="244">
        <v>2911521.43</v>
      </c>
      <c r="L21" s="209"/>
      <c r="M21" s="211">
        <v>3043600.32</v>
      </c>
      <c r="N21" s="234"/>
      <c r="O21" s="261">
        <v>2823143.22</v>
      </c>
      <c r="P21" s="209"/>
      <c r="Q21" s="211">
        <v>2897341.09</v>
      </c>
      <c r="R21" s="234"/>
      <c r="S21" s="244">
        <v>3286941.74</v>
      </c>
      <c r="T21" s="209"/>
      <c r="U21" s="211">
        <v>3242501.97</v>
      </c>
      <c r="V21" s="234"/>
      <c r="W21" s="244">
        <v>3480664.07</v>
      </c>
      <c r="X21" s="209"/>
      <c r="Y21" s="211">
        <v>2771977.17</v>
      </c>
      <c r="Z21" s="292"/>
      <c r="AA21" s="293">
        <f>SUM(C21,E21,G21,I21,K21,M21,O21,Q21,S21,U21,W21,Y21)</f>
        <v>37590769.020000003</v>
      </c>
      <c r="AD21" s="203"/>
    </row>
    <row r="22" spans="1:30" x14ac:dyDescent="0.2">
      <c r="A22" s="45" t="s">
        <v>111</v>
      </c>
      <c r="B22" s="245"/>
      <c r="C22" s="246">
        <f>C19/C21</f>
        <v>0.11847830848031515</v>
      </c>
      <c r="D22" s="307"/>
      <c r="E22" s="308">
        <f>E19/E21</f>
        <v>0.1237898931778507</v>
      </c>
      <c r="F22" s="245"/>
      <c r="G22" s="246">
        <f>G19/G21</f>
        <v>0.12062347523370795</v>
      </c>
      <c r="H22" s="307"/>
      <c r="I22" s="308">
        <f>I19/I21</f>
        <v>0.10887365322988654</v>
      </c>
      <c r="J22" s="245"/>
      <c r="K22" s="246">
        <f>K19/K21</f>
        <v>0.12376492451233648</v>
      </c>
      <c r="L22" s="307"/>
      <c r="M22" s="308">
        <f>M19/M21</f>
        <v>9.8714341047250256E-2</v>
      </c>
      <c r="N22" s="245"/>
      <c r="O22" s="246">
        <f>O19/O21</f>
        <v>0.12469213304736271</v>
      </c>
      <c r="P22" s="307"/>
      <c r="Q22" s="308">
        <f>Q19/Q21</f>
        <v>0.12400201040879175</v>
      </c>
      <c r="R22" s="245"/>
      <c r="S22" s="246">
        <f>S19/S21</f>
        <v>0.1023339647023984</v>
      </c>
      <c r="T22" s="307"/>
      <c r="U22" s="308">
        <f>U19/U21</f>
        <v>0.10578026880890375</v>
      </c>
      <c r="V22" s="245"/>
      <c r="W22" s="246">
        <f>W19/W21</f>
        <v>0.10713657293563526</v>
      </c>
      <c r="X22" s="307"/>
      <c r="Y22" s="308">
        <f>Y19/Y21</f>
        <v>0.11661321510811723</v>
      </c>
      <c r="Z22" s="309"/>
      <c r="AA22" s="310">
        <f>AA19/AA21</f>
        <v>0.11409355546086671</v>
      </c>
    </row>
    <row r="23" spans="1:30" x14ac:dyDescent="0.2">
      <c r="A23" s="45"/>
      <c r="B23" s="307"/>
      <c r="C23" s="308"/>
      <c r="D23" s="307"/>
      <c r="E23" s="308"/>
      <c r="F23" s="307"/>
      <c r="G23" s="308"/>
      <c r="H23" s="307"/>
      <c r="I23" s="308"/>
      <c r="J23" s="307"/>
      <c r="K23" s="308"/>
      <c r="L23" s="307"/>
      <c r="M23" s="308"/>
      <c r="N23" s="307"/>
      <c r="O23" s="308"/>
      <c r="P23" s="307"/>
      <c r="Q23" s="308"/>
      <c r="R23" s="307"/>
      <c r="S23" s="308"/>
      <c r="T23" s="307"/>
      <c r="U23" s="308"/>
      <c r="V23" s="307"/>
      <c r="W23" s="308"/>
      <c r="X23" s="307"/>
      <c r="Y23" s="308"/>
      <c r="Z23" s="307"/>
      <c r="AA23" s="308"/>
    </row>
    <row r="24" spans="1:30" s="176" customFormat="1" x14ac:dyDescent="0.2">
      <c r="A24" s="203"/>
      <c r="B24" s="179"/>
      <c r="C24" s="178"/>
      <c r="D24" s="174"/>
      <c r="E24" s="178"/>
      <c r="F24" s="174"/>
      <c r="G24" s="178"/>
      <c r="H24" s="174"/>
      <c r="I24" s="178"/>
      <c r="J24" s="174"/>
      <c r="K24" s="178"/>
      <c r="L24" s="174"/>
      <c r="M24" s="178"/>
      <c r="N24" s="174"/>
      <c r="O24" s="178"/>
      <c r="P24" s="174"/>
      <c r="R24" s="179"/>
      <c r="T24" s="179"/>
      <c r="U24" s="187"/>
      <c r="V24" s="174"/>
      <c r="W24" s="178"/>
      <c r="X24" s="174"/>
      <c r="Z24" s="179"/>
    </row>
    <row r="25" spans="1:30" s="171" customFormat="1" ht="29.25" customHeight="1" x14ac:dyDescent="0.2">
      <c r="A25" s="305" t="s">
        <v>130</v>
      </c>
      <c r="B25" s="212"/>
      <c r="C25" s="213">
        <f>C19-C10</f>
        <v>209487.24</v>
      </c>
      <c r="D25" s="212"/>
      <c r="E25" s="213">
        <f>E19-E10</f>
        <v>232780.91</v>
      </c>
      <c r="F25" s="212"/>
      <c r="G25" s="213">
        <f>G19-G10</f>
        <v>191484.24000000002</v>
      </c>
      <c r="H25" s="212"/>
      <c r="I25" s="213">
        <f>I19-I10</f>
        <v>253538.41999999998</v>
      </c>
      <c r="J25" s="212"/>
      <c r="K25" s="213">
        <f>K19-K10</f>
        <v>205353.3</v>
      </c>
      <c r="L25" s="212"/>
      <c r="M25" s="213">
        <f>M19-M10</f>
        <v>173122.44</v>
      </c>
      <c r="N25" s="212"/>
      <c r="O25" s="213">
        <f>O19-O10</f>
        <v>200780.3</v>
      </c>
      <c r="P25" s="212"/>
      <c r="Q25" s="213">
        <f>Q19-Q10</f>
        <v>215705</v>
      </c>
      <c r="R25" s="212"/>
      <c r="S25" s="213">
        <f>S19-S10</f>
        <v>185773.37000000002</v>
      </c>
      <c r="T25" s="212"/>
      <c r="U25" s="213">
        <f>U19-U10</f>
        <v>192841.87999999998</v>
      </c>
      <c r="V25" s="212"/>
      <c r="W25" s="213">
        <f>W19-W10</f>
        <v>216072.38000000003</v>
      </c>
      <c r="X25" s="212"/>
      <c r="Y25" s="213">
        <f>Y19-Y10</f>
        <v>189491.17000000004</v>
      </c>
      <c r="Z25" s="212"/>
      <c r="AA25" s="213">
        <f>AA19-AA10</f>
        <v>2466430.6500000004</v>
      </c>
      <c r="AB25" s="196"/>
      <c r="AC25" s="196"/>
      <c r="AD25" s="196"/>
    </row>
    <row r="26" spans="1:30" s="176" customFormat="1" x14ac:dyDescent="0.2">
      <c r="A26" s="203"/>
      <c r="B26" s="179"/>
      <c r="D26" s="179"/>
      <c r="F26" s="179"/>
      <c r="H26" s="179"/>
      <c r="J26" s="179"/>
      <c r="L26" s="179"/>
      <c r="N26" s="179"/>
      <c r="O26" s="178"/>
      <c r="P26" s="174"/>
      <c r="R26" s="179"/>
      <c r="T26" s="179"/>
      <c r="U26" s="197"/>
      <c r="V26" s="179"/>
      <c r="X26" s="179"/>
      <c r="Z26" s="179"/>
    </row>
    <row r="27" spans="1:30" s="176" customFormat="1" x14ac:dyDescent="0.2">
      <c r="A27" s="218" t="s">
        <v>131</v>
      </c>
      <c r="B27" s="179"/>
      <c r="D27" s="179"/>
      <c r="F27" s="179"/>
      <c r="H27" s="179"/>
      <c r="J27" s="179"/>
      <c r="L27" s="179"/>
      <c r="N27" s="179"/>
      <c r="O27" s="178"/>
      <c r="P27" s="174"/>
      <c r="R27" s="179"/>
      <c r="T27" s="179"/>
      <c r="U27" s="197"/>
      <c r="V27" s="179"/>
      <c r="X27" s="179"/>
      <c r="Z27" s="179"/>
      <c r="AA27" s="306"/>
    </row>
    <row r="28" spans="1:30" s="176" customFormat="1" x14ac:dyDescent="0.2">
      <c r="A28" s="203"/>
      <c r="B28" s="198"/>
      <c r="C28" s="199"/>
      <c r="D28" s="198"/>
      <c r="E28" s="199"/>
      <c r="F28" s="198"/>
      <c r="G28" s="199"/>
      <c r="H28" s="198"/>
      <c r="I28" s="199"/>
      <c r="J28" s="200"/>
      <c r="K28" s="201"/>
      <c r="L28" s="200"/>
      <c r="M28" s="201"/>
      <c r="N28" s="200"/>
      <c r="O28" s="178"/>
      <c r="P28" s="174"/>
      <c r="R28" s="179"/>
      <c r="T28" s="179"/>
      <c r="U28" s="197"/>
      <c r="V28" s="179"/>
      <c r="X28" s="179"/>
      <c r="Z28" s="179"/>
    </row>
    <row r="29" spans="1:30" x14ac:dyDescent="0.2">
      <c r="A29" s="207"/>
    </row>
    <row r="30" spans="1:30" x14ac:dyDescent="0.2">
      <c r="A30" s="214"/>
      <c r="B30" s="215"/>
      <c r="C30" s="216"/>
      <c r="D30" s="215"/>
      <c r="E30" s="216"/>
      <c r="F30" s="215"/>
      <c r="G30" s="216"/>
      <c r="H30" s="217"/>
      <c r="I30" s="216"/>
    </row>
    <row r="33" spans="5:27" x14ac:dyDescent="0.2">
      <c r="E33" s="51"/>
    </row>
    <row r="34" spans="5:27" x14ac:dyDescent="0.2">
      <c r="AA34" s="38"/>
    </row>
    <row r="36" spans="5:27" x14ac:dyDescent="0.2">
      <c r="U36" s="80"/>
    </row>
  </sheetData>
  <pageMargins left="0.22" right="0.16" top="0.75" bottom="0.75" header="0.3" footer="0.3"/>
  <pageSetup paperSize="5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9"/>
  <sheetViews>
    <sheetView workbookViewId="0"/>
  </sheetViews>
  <sheetFormatPr defaultRowHeight="12.75" x14ac:dyDescent="0.2"/>
  <cols>
    <col min="1" max="1" width="42.5703125" style="203" customWidth="1"/>
    <col min="2" max="2" width="5.5703125" style="88" bestFit="1" customWidth="1"/>
    <col min="3" max="3" width="11.28515625" bestFit="1" customWidth="1"/>
    <col min="4" max="4" width="6.5703125" style="88" bestFit="1" customWidth="1"/>
    <col min="5" max="5" width="11.85546875" customWidth="1"/>
    <col min="6" max="6" width="6.5703125" style="88" bestFit="1" customWidth="1"/>
    <col min="7" max="7" width="11.85546875" customWidth="1"/>
    <col min="8" max="8" width="6.5703125" style="96" bestFit="1" customWidth="1"/>
    <col min="9" max="9" width="12.42578125" customWidth="1"/>
    <col min="10" max="10" width="6.5703125" style="96" bestFit="1" customWidth="1"/>
    <col min="11" max="11" width="11.7109375" customWidth="1"/>
    <col min="12" max="12" width="6.5703125" style="88" bestFit="1" customWidth="1"/>
    <col min="13" max="13" width="11.85546875" customWidth="1"/>
    <col min="14" max="14" width="6.42578125" style="88" customWidth="1"/>
    <col min="15" max="15" width="11.28515625" style="26" customWidth="1"/>
    <col min="16" max="16" width="6.5703125" style="90" bestFit="1" customWidth="1"/>
    <col min="17" max="17" width="11.28515625" customWidth="1"/>
    <col min="18" max="18" width="6.5703125" style="96" customWidth="1"/>
    <col min="19" max="19" width="11.28515625" style="6" customWidth="1"/>
    <col min="20" max="20" width="6.5703125" style="88" customWidth="1"/>
    <col min="21" max="21" width="11.28515625" style="71" customWidth="1"/>
    <col min="22" max="22" width="6.42578125" style="88" customWidth="1"/>
    <col min="23" max="23" width="12.42578125" style="6" customWidth="1"/>
    <col min="24" max="24" width="6.5703125" style="88" customWidth="1"/>
    <col min="25" max="25" width="11.5703125" style="6" customWidth="1"/>
    <col min="26" max="26" width="9" style="88" customWidth="1"/>
    <col min="27" max="27" width="12.28515625" style="6" bestFit="1" customWidth="1"/>
  </cols>
  <sheetData>
    <row r="2" spans="1:27" ht="18" x14ac:dyDescent="0.25">
      <c r="A2" s="202" t="s">
        <v>137</v>
      </c>
    </row>
    <row r="3" spans="1:27" ht="18" x14ac:dyDescent="0.25">
      <c r="A3" s="202"/>
    </row>
    <row r="4" spans="1:27" s="6" customFormat="1" x14ac:dyDescent="0.2">
      <c r="B4" s="225"/>
      <c r="C4" s="266" t="s">
        <v>21</v>
      </c>
      <c r="D4" s="88"/>
      <c r="E4" s="268" t="s">
        <v>22</v>
      </c>
      <c r="F4" s="225"/>
      <c r="G4" s="266" t="s">
        <v>23</v>
      </c>
      <c r="H4" s="88"/>
      <c r="I4" s="268" t="s">
        <v>24</v>
      </c>
      <c r="J4" s="225"/>
      <c r="K4" s="266" t="s">
        <v>25</v>
      </c>
      <c r="L4" s="88"/>
      <c r="M4" s="268" t="s">
        <v>20</v>
      </c>
      <c r="N4" s="225"/>
      <c r="O4" s="271" t="s">
        <v>4</v>
      </c>
      <c r="P4" s="90"/>
      <c r="Q4" s="268" t="s">
        <v>5</v>
      </c>
      <c r="R4" s="225"/>
      <c r="S4" s="266" t="s">
        <v>6</v>
      </c>
      <c r="T4" s="88"/>
      <c r="U4" s="269" t="s">
        <v>7</v>
      </c>
      <c r="V4" s="225"/>
      <c r="W4" s="266" t="s">
        <v>8</v>
      </c>
      <c r="X4" s="88"/>
      <c r="Y4" s="268" t="s">
        <v>9</v>
      </c>
      <c r="Z4" s="272" t="s">
        <v>29</v>
      </c>
      <c r="AA4" s="273" t="s">
        <v>29</v>
      </c>
    </row>
    <row r="5" spans="1:27" x14ac:dyDescent="0.2">
      <c r="B5" s="225" t="s">
        <v>38</v>
      </c>
      <c r="C5" s="266" t="s">
        <v>65</v>
      </c>
      <c r="D5" s="88" t="s">
        <v>38</v>
      </c>
      <c r="E5" s="268" t="s">
        <v>65</v>
      </c>
      <c r="F5" s="225" t="s">
        <v>38</v>
      </c>
      <c r="G5" s="266" t="s">
        <v>65</v>
      </c>
      <c r="H5" s="88" t="s">
        <v>38</v>
      </c>
      <c r="I5" s="268" t="s">
        <v>65</v>
      </c>
      <c r="J5" s="225" t="s">
        <v>38</v>
      </c>
      <c r="K5" s="266" t="s">
        <v>65</v>
      </c>
      <c r="L5" s="88" t="s">
        <v>38</v>
      </c>
      <c r="M5" s="268" t="s">
        <v>65</v>
      </c>
      <c r="N5" s="225" t="s">
        <v>38</v>
      </c>
      <c r="O5" s="271" t="s">
        <v>65</v>
      </c>
      <c r="P5" s="88" t="s">
        <v>38</v>
      </c>
      <c r="Q5" s="267" t="s">
        <v>65</v>
      </c>
      <c r="R5" s="225" t="s">
        <v>38</v>
      </c>
      <c r="S5" s="266" t="s">
        <v>65</v>
      </c>
      <c r="T5" s="88" t="s">
        <v>38</v>
      </c>
      <c r="U5" s="270" t="s">
        <v>65</v>
      </c>
      <c r="V5" s="225" t="s">
        <v>38</v>
      </c>
      <c r="W5" s="266" t="s">
        <v>65</v>
      </c>
      <c r="X5" s="88" t="s">
        <v>38</v>
      </c>
      <c r="Y5" s="268" t="s">
        <v>65</v>
      </c>
      <c r="Z5" s="272" t="s">
        <v>38</v>
      </c>
      <c r="AA5" s="274" t="s">
        <v>52</v>
      </c>
    </row>
    <row r="6" spans="1:27" x14ac:dyDescent="0.2">
      <c r="A6" s="169" t="s">
        <v>60</v>
      </c>
      <c r="B6" s="225"/>
      <c r="C6" s="227"/>
      <c r="D6" s="90"/>
      <c r="E6" s="26"/>
      <c r="F6" s="247"/>
      <c r="G6" s="248"/>
      <c r="H6" s="98"/>
      <c r="J6" s="255"/>
      <c r="K6" s="227"/>
      <c r="N6" s="225"/>
      <c r="O6" s="248"/>
      <c r="R6" s="255"/>
      <c r="S6" s="226"/>
      <c r="U6" s="77"/>
      <c r="V6" s="247"/>
      <c r="W6" s="262"/>
      <c r="X6" s="90"/>
      <c r="Z6" s="272"/>
      <c r="AA6" s="273"/>
    </row>
    <row r="7" spans="1:27" s="176" customFormat="1" ht="13.5" thickBot="1" x14ac:dyDescent="0.25">
      <c r="A7" s="169" t="s">
        <v>61</v>
      </c>
      <c r="B7" s="228">
        <v>9748</v>
      </c>
      <c r="C7" s="229"/>
      <c r="D7" s="177">
        <v>11048</v>
      </c>
      <c r="E7" s="178"/>
      <c r="F7" s="249">
        <v>9774</v>
      </c>
      <c r="G7" s="231"/>
      <c r="H7" s="177">
        <v>10043</v>
      </c>
      <c r="J7" s="228">
        <v>9408</v>
      </c>
      <c r="K7" s="229"/>
      <c r="L7" s="175">
        <v>10986</v>
      </c>
      <c r="N7" s="228">
        <v>10996</v>
      </c>
      <c r="O7" s="229"/>
      <c r="P7" s="175">
        <v>11020</v>
      </c>
      <c r="R7" s="228">
        <v>10960</v>
      </c>
      <c r="S7" s="229"/>
      <c r="T7" s="175">
        <v>11099</v>
      </c>
      <c r="V7" s="228">
        <v>10623</v>
      </c>
      <c r="W7" s="229"/>
      <c r="X7" s="175">
        <v>10281</v>
      </c>
      <c r="Z7" s="275">
        <f>B7+D7+F7+H7+J7+L7+N7+P7+R7+T7+V7+X7</f>
        <v>125986</v>
      </c>
      <c r="AA7" s="276"/>
    </row>
    <row r="8" spans="1:27" s="176" customFormat="1" ht="13.5" thickTop="1" x14ac:dyDescent="0.2">
      <c r="A8" s="4" t="s">
        <v>56</v>
      </c>
      <c r="B8" s="230"/>
      <c r="C8" s="231">
        <v>147668.59</v>
      </c>
      <c r="D8" s="174"/>
      <c r="E8" s="180">
        <v>166377.95000000001</v>
      </c>
      <c r="F8" s="250"/>
      <c r="G8" s="251">
        <v>152353.24</v>
      </c>
      <c r="H8" s="174"/>
      <c r="I8" s="180">
        <v>154167.34</v>
      </c>
      <c r="J8" s="250"/>
      <c r="K8" s="251">
        <v>142511.37</v>
      </c>
      <c r="L8" s="174"/>
      <c r="M8" s="66">
        <v>156204.51999999999</v>
      </c>
      <c r="N8" s="230"/>
      <c r="O8" s="231">
        <v>161235.51</v>
      </c>
      <c r="P8" s="174"/>
      <c r="Q8" s="178">
        <v>161772.35</v>
      </c>
      <c r="R8" s="250"/>
      <c r="S8" s="231">
        <v>164985.49</v>
      </c>
      <c r="T8" s="174"/>
      <c r="U8" s="178">
        <v>167866.19</v>
      </c>
      <c r="V8" s="250"/>
      <c r="W8" s="231">
        <v>167349.53</v>
      </c>
      <c r="X8" s="174"/>
      <c r="Y8" s="181">
        <v>154419.03</v>
      </c>
      <c r="Z8" s="277"/>
      <c r="AA8" s="278">
        <f>SUM(C8:Y8)</f>
        <v>1896911.11</v>
      </c>
    </row>
    <row r="9" spans="1:27" s="176" customFormat="1" x14ac:dyDescent="0.2">
      <c r="A9" s="4" t="s">
        <v>34</v>
      </c>
      <c r="B9" s="232"/>
      <c r="C9" s="233">
        <v>19925.16</v>
      </c>
      <c r="D9" s="184"/>
      <c r="E9" s="183">
        <v>22066</v>
      </c>
      <c r="F9" s="252"/>
      <c r="G9" s="233">
        <v>19260.18</v>
      </c>
      <c r="H9" s="184"/>
      <c r="I9" s="183">
        <v>15507.6</v>
      </c>
      <c r="J9" s="252"/>
      <c r="K9" s="233">
        <v>14068.52</v>
      </c>
      <c r="L9" s="184"/>
      <c r="M9" s="67">
        <v>16799.37</v>
      </c>
      <c r="N9" s="232"/>
      <c r="O9" s="257">
        <v>16562.72</v>
      </c>
      <c r="P9" s="184"/>
      <c r="Q9" s="185">
        <v>16387.41</v>
      </c>
      <c r="R9" s="252"/>
      <c r="S9" s="257">
        <v>16337.92</v>
      </c>
      <c r="T9" s="184"/>
      <c r="U9" s="185">
        <v>16261.3</v>
      </c>
      <c r="V9" s="252"/>
      <c r="W9" s="257">
        <v>15718.31</v>
      </c>
      <c r="X9" s="184"/>
      <c r="Y9" s="183">
        <v>14557.68</v>
      </c>
      <c r="Z9" s="279"/>
      <c r="AA9" s="280">
        <f>SUM(C9:Y9)</f>
        <v>203452.16999999998</v>
      </c>
    </row>
    <row r="10" spans="1:27" s="176" customFormat="1" x14ac:dyDescent="0.2">
      <c r="A10" s="169" t="s">
        <v>62</v>
      </c>
      <c r="B10" s="234"/>
      <c r="C10" s="235">
        <f>SUM(C8:C9)</f>
        <v>167593.75</v>
      </c>
      <c r="D10" s="220"/>
      <c r="E10" s="210">
        <f>SUM(E8:E9)</f>
        <v>188443.95</v>
      </c>
      <c r="F10" s="253"/>
      <c r="G10" s="235">
        <f>SUM(G8:G9)</f>
        <v>171613.41999999998</v>
      </c>
      <c r="H10" s="220"/>
      <c r="I10" s="210">
        <f>SUM(I8:I9)</f>
        <v>169674.94</v>
      </c>
      <c r="J10" s="253"/>
      <c r="K10" s="235">
        <f>SUM(K8:K9)</f>
        <v>156579.88999999998</v>
      </c>
      <c r="L10" s="220"/>
      <c r="M10" s="210">
        <f>SUM(M8:M9)</f>
        <v>173003.88999999998</v>
      </c>
      <c r="N10" s="253"/>
      <c r="O10" s="235">
        <f>SUM(O8:O9)</f>
        <v>177798.23</v>
      </c>
      <c r="P10" s="220"/>
      <c r="Q10" s="210">
        <f>SUM(Q8:Q9)</f>
        <v>178159.76</v>
      </c>
      <c r="R10" s="253"/>
      <c r="S10" s="235">
        <f>SUM(S8:S9)</f>
        <v>181323.41</v>
      </c>
      <c r="T10" s="220"/>
      <c r="U10" s="221">
        <f>U8+U9</f>
        <v>184127.49</v>
      </c>
      <c r="V10" s="253"/>
      <c r="W10" s="263">
        <f>W8+W9</f>
        <v>183067.84</v>
      </c>
      <c r="X10" s="220"/>
      <c r="Y10" s="222">
        <f>SUM(Y8:Y9)</f>
        <v>168976.71</v>
      </c>
      <c r="Z10" s="281"/>
      <c r="AA10" s="282">
        <f>SUM(C10,E10,G10,I10,K10,M10,O10,Q10,S10,U10,W10,Y10)</f>
        <v>2100363.2800000003</v>
      </c>
    </row>
    <row r="11" spans="1:27" s="176" customFormat="1" x14ac:dyDescent="0.2">
      <c r="A11" s="203"/>
      <c r="B11" s="230"/>
      <c r="C11" s="231"/>
      <c r="D11" s="179"/>
      <c r="F11" s="230"/>
      <c r="G11" s="229"/>
      <c r="H11" s="179"/>
      <c r="J11" s="230"/>
      <c r="K11" s="229"/>
      <c r="L11" s="179"/>
      <c r="N11" s="230"/>
      <c r="O11" s="258"/>
      <c r="P11" s="188"/>
      <c r="R11" s="230"/>
      <c r="S11" s="229"/>
      <c r="T11" s="179"/>
      <c r="U11" s="189"/>
      <c r="V11" s="264"/>
      <c r="W11" s="229"/>
      <c r="X11" s="179"/>
      <c r="Z11" s="277"/>
      <c r="AA11" s="276"/>
    </row>
    <row r="12" spans="1:27" s="190" customFormat="1" x14ac:dyDescent="0.2">
      <c r="A12" s="205" t="s">
        <v>63</v>
      </c>
      <c r="B12" s="236"/>
      <c r="C12" s="237"/>
      <c r="D12" s="173"/>
      <c r="F12" s="250"/>
      <c r="G12" s="254"/>
      <c r="H12" s="173"/>
      <c r="J12" s="256"/>
      <c r="K12" s="254"/>
      <c r="L12" s="173"/>
      <c r="N12" s="256"/>
      <c r="O12" s="259"/>
      <c r="P12" s="172"/>
      <c r="R12" s="256"/>
      <c r="S12" s="254"/>
      <c r="T12" s="173"/>
      <c r="U12" s="191"/>
      <c r="V12" s="236"/>
      <c r="W12" s="259"/>
      <c r="X12" s="173"/>
      <c r="Z12" s="283"/>
      <c r="AA12" s="284"/>
    </row>
    <row r="13" spans="1:27" s="224" customFormat="1" x14ac:dyDescent="0.2">
      <c r="A13" s="311" t="s">
        <v>106</v>
      </c>
      <c r="B13" s="238">
        <v>2496</v>
      </c>
      <c r="C13" s="239">
        <v>79515.460000000006</v>
      </c>
      <c r="D13" s="224">
        <v>2811</v>
      </c>
      <c r="E13" s="223">
        <v>90310.03</v>
      </c>
      <c r="F13" s="238">
        <v>2690</v>
      </c>
      <c r="G13" s="239">
        <v>92148.64</v>
      </c>
      <c r="H13" s="224">
        <v>2483</v>
      </c>
      <c r="I13" s="223">
        <v>89613.16</v>
      </c>
      <c r="J13" s="238">
        <v>2521</v>
      </c>
      <c r="K13" s="239">
        <v>86729.06</v>
      </c>
      <c r="L13" s="224">
        <v>2559</v>
      </c>
      <c r="M13" s="223">
        <v>88480.52</v>
      </c>
      <c r="N13" s="238"/>
      <c r="O13" s="239"/>
      <c r="Q13" s="223"/>
      <c r="R13" s="238"/>
      <c r="S13" s="239"/>
      <c r="U13" s="223"/>
      <c r="V13" s="238"/>
      <c r="W13" s="239"/>
      <c r="Y13" s="223"/>
      <c r="Z13" s="285">
        <f t="shared" ref="Z13:Z18" si="0">SUM(B13+D13+F13+H13+J13+L13+N13+P13+R13+T13+V13+X13)</f>
        <v>15560</v>
      </c>
      <c r="AA13" s="286">
        <f t="shared" ref="AA13:AA20" si="1">SUM(C13,E13,G13,I13,K13,M13,O13,Q13,S13,U13,W13,Y13)</f>
        <v>526796.87</v>
      </c>
    </row>
    <row r="14" spans="1:27" s="224" customFormat="1" x14ac:dyDescent="0.2">
      <c r="A14" s="311" t="s">
        <v>102</v>
      </c>
      <c r="B14" s="238"/>
      <c r="C14" s="239"/>
      <c r="E14" s="223"/>
      <c r="F14" s="238"/>
      <c r="G14" s="239"/>
      <c r="I14" s="223"/>
      <c r="J14" s="238"/>
      <c r="K14" s="239"/>
      <c r="M14" s="223"/>
      <c r="N14" s="238">
        <v>2561</v>
      </c>
      <c r="O14" s="239">
        <v>88421.25</v>
      </c>
      <c r="P14" s="224">
        <v>2557</v>
      </c>
      <c r="Q14" s="223">
        <v>85542.39</v>
      </c>
      <c r="R14" s="238">
        <v>2781</v>
      </c>
      <c r="S14" s="239">
        <v>97219.17</v>
      </c>
      <c r="T14" s="224">
        <v>2758</v>
      </c>
      <c r="U14" s="223">
        <v>92144.93</v>
      </c>
      <c r="V14" s="238">
        <v>2911</v>
      </c>
      <c r="W14" s="239">
        <v>102961.92</v>
      </c>
      <c r="X14" s="224">
        <v>2694</v>
      </c>
      <c r="Y14" s="223">
        <v>95076.63</v>
      </c>
      <c r="Z14" s="285">
        <f t="shared" si="0"/>
        <v>16262</v>
      </c>
      <c r="AA14" s="286">
        <f t="shared" si="1"/>
        <v>561366.29</v>
      </c>
    </row>
    <row r="15" spans="1:27" s="224" customFormat="1" x14ac:dyDescent="0.2">
      <c r="A15" s="311" t="s">
        <v>103</v>
      </c>
      <c r="B15" s="238"/>
      <c r="C15" s="239"/>
      <c r="E15" s="223"/>
      <c r="F15" s="238"/>
      <c r="G15" s="239"/>
      <c r="I15" s="223"/>
      <c r="J15" s="238"/>
      <c r="K15" s="239"/>
      <c r="M15" s="223"/>
      <c r="N15" s="238">
        <v>40</v>
      </c>
      <c r="O15" s="239">
        <v>4312.38</v>
      </c>
      <c r="P15" s="224">
        <v>65</v>
      </c>
      <c r="Q15" s="223">
        <v>7100.61</v>
      </c>
      <c r="R15" s="238">
        <v>65</v>
      </c>
      <c r="S15" s="239">
        <v>7572.95</v>
      </c>
      <c r="T15" s="224">
        <v>32</v>
      </c>
      <c r="U15" s="223">
        <v>3164.99</v>
      </c>
      <c r="V15" s="238">
        <v>55</v>
      </c>
      <c r="W15" s="239">
        <v>5850.67</v>
      </c>
      <c r="X15" s="224">
        <v>37</v>
      </c>
      <c r="Y15" s="223">
        <v>5827.53</v>
      </c>
      <c r="Z15" s="285">
        <f>SUM(B15+D15+F15+H15+J15+L15+N15+P15+R15+T15+V15+X15)</f>
        <v>294</v>
      </c>
      <c r="AA15" s="286">
        <f>SUM(C15,E15,G15,I15,K15,M15,O15,Q15,S15,U15,W15,Y15)</f>
        <v>33829.129999999997</v>
      </c>
    </row>
    <row r="16" spans="1:27" s="224" customFormat="1" x14ac:dyDescent="0.2">
      <c r="A16" s="311" t="s">
        <v>104</v>
      </c>
      <c r="B16" s="238"/>
      <c r="C16" s="239"/>
      <c r="E16" s="223"/>
      <c r="F16" s="238"/>
      <c r="G16" s="239"/>
      <c r="I16" s="223"/>
      <c r="J16" s="238"/>
      <c r="K16" s="239"/>
      <c r="M16" s="223"/>
      <c r="N16" s="238">
        <v>3389</v>
      </c>
      <c r="O16" s="239">
        <v>195687.83</v>
      </c>
      <c r="P16" s="224">
        <v>3586</v>
      </c>
      <c r="Q16" s="223">
        <v>231305.01</v>
      </c>
      <c r="R16" s="238">
        <v>3687</v>
      </c>
      <c r="S16" s="239">
        <v>242145.8</v>
      </c>
      <c r="T16" s="224">
        <v>3589</v>
      </c>
      <c r="U16" s="223">
        <v>246192.98</v>
      </c>
      <c r="V16" s="238">
        <v>3559</v>
      </c>
      <c r="W16" s="239">
        <v>261600.2</v>
      </c>
      <c r="X16" s="224">
        <v>3326</v>
      </c>
      <c r="Y16" s="223">
        <v>280708.58</v>
      </c>
      <c r="Z16" s="285">
        <f>SUM(B16+D16+F16+H16+J16+L16+N16+P16+R16+T16+V16+X16)</f>
        <v>21136</v>
      </c>
      <c r="AA16" s="286">
        <f>SUM(C16,E16,G16,I16,K16,M16,O16,Q16,S16,U16,W16,Y16)</f>
        <v>1457640.4</v>
      </c>
    </row>
    <row r="17" spans="1:30" s="176" customFormat="1" x14ac:dyDescent="0.2">
      <c r="A17" s="203" t="s">
        <v>108</v>
      </c>
      <c r="B17" s="232">
        <v>6083</v>
      </c>
      <c r="C17" s="231">
        <v>234123</v>
      </c>
      <c r="D17" s="182">
        <v>6884</v>
      </c>
      <c r="E17" s="178">
        <v>278019.18</v>
      </c>
      <c r="F17" s="232">
        <v>6525</v>
      </c>
      <c r="G17" s="231">
        <v>257077.32</v>
      </c>
      <c r="H17" s="182">
        <v>6733</v>
      </c>
      <c r="I17" s="178">
        <v>262740</v>
      </c>
      <c r="J17" s="232">
        <v>6667</v>
      </c>
      <c r="K17" s="231">
        <v>250229.21</v>
      </c>
      <c r="L17" s="182">
        <v>7217</v>
      </c>
      <c r="M17" s="178">
        <v>272771.3</v>
      </c>
      <c r="N17" s="232">
        <v>3503</v>
      </c>
      <c r="O17" s="231">
        <v>85613.1</v>
      </c>
      <c r="P17" s="182">
        <v>3348</v>
      </c>
      <c r="Q17" s="178">
        <v>82445</v>
      </c>
      <c r="R17" s="232">
        <v>3369</v>
      </c>
      <c r="S17" s="231">
        <v>84494</v>
      </c>
      <c r="T17" s="182">
        <v>3055</v>
      </c>
      <c r="U17" s="178">
        <v>83160</v>
      </c>
      <c r="V17" s="232">
        <v>3229</v>
      </c>
      <c r="W17" s="231">
        <v>80048</v>
      </c>
      <c r="X17" s="182">
        <v>2941</v>
      </c>
      <c r="Y17" s="178">
        <v>53662</v>
      </c>
      <c r="Z17" s="285">
        <f t="shared" si="0"/>
        <v>59554</v>
      </c>
      <c r="AA17" s="286">
        <f t="shared" si="1"/>
        <v>2024382.11</v>
      </c>
    </row>
    <row r="18" spans="1:30" s="190" customFormat="1" hidden="1" x14ac:dyDescent="0.2">
      <c r="A18" s="206" t="s">
        <v>93</v>
      </c>
      <c r="B18" s="236"/>
      <c r="C18" s="237"/>
      <c r="D18" s="173"/>
      <c r="F18" s="250"/>
      <c r="G18" s="254"/>
      <c r="H18" s="173"/>
      <c r="J18" s="256"/>
      <c r="K18" s="254"/>
      <c r="L18" s="173"/>
      <c r="N18" s="256"/>
      <c r="O18" s="231"/>
      <c r="P18" s="172"/>
      <c r="R18" s="236"/>
      <c r="S18" s="254"/>
      <c r="T18" s="173"/>
      <c r="U18" s="191"/>
      <c r="V18" s="236"/>
      <c r="W18" s="259"/>
      <c r="X18" s="173"/>
      <c r="Z18" s="283">
        <f t="shared" si="0"/>
        <v>0</v>
      </c>
      <c r="AA18" s="287">
        <f t="shared" si="1"/>
        <v>0</v>
      </c>
    </row>
    <row r="19" spans="1:30" s="176" customFormat="1" hidden="1" x14ac:dyDescent="0.2">
      <c r="A19" s="204" t="s">
        <v>101</v>
      </c>
      <c r="B19" s="232"/>
      <c r="C19" s="235"/>
      <c r="D19" s="184"/>
      <c r="E19" s="192"/>
      <c r="F19" s="252"/>
      <c r="G19" s="243"/>
      <c r="H19" s="184"/>
      <c r="I19" s="192"/>
      <c r="J19" s="252"/>
      <c r="K19" s="243"/>
      <c r="L19" s="184"/>
      <c r="M19" s="192"/>
      <c r="N19" s="252"/>
      <c r="O19" s="260"/>
      <c r="P19" s="186"/>
      <c r="Q19" s="192"/>
      <c r="R19" s="252"/>
      <c r="S19" s="243"/>
      <c r="T19" s="184"/>
      <c r="U19" s="193"/>
      <c r="V19" s="265"/>
      <c r="W19" s="260"/>
      <c r="X19" s="184"/>
      <c r="Y19" s="192"/>
      <c r="Z19" s="283">
        <f>SUM(B19+D19+F19+H19+J19+L19+N19+P19+R19+T19+V19+X19)</f>
        <v>0</v>
      </c>
      <c r="AA19" s="278">
        <f>SUM(C19,E19,G19,I19,K19,M19,O19,Q19,S19,U19,W19,Y19)</f>
        <v>0</v>
      </c>
    </row>
    <row r="20" spans="1:30" s="176" customFormat="1" ht="13.5" thickBot="1" x14ac:dyDescent="0.25">
      <c r="A20" s="170" t="s">
        <v>64</v>
      </c>
      <c r="B20" s="240">
        <f>SUM(B13:B19)</f>
        <v>8579</v>
      </c>
      <c r="C20" s="241">
        <f>SUM(C13:C19)</f>
        <v>313638.46000000002</v>
      </c>
      <c r="D20" s="219">
        <f>SUM(D13:D19)</f>
        <v>9695</v>
      </c>
      <c r="E20" s="208">
        <f>SUM(E13:E19)</f>
        <v>368329.20999999996</v>
      </c>
      <c r="F20" s="240">
        <f t="shared" ref="F20:Y20" si="2">SUM(F13:F19)</f>
        <v>9215</v>
      </c>
      <c r="G20" s="241">
        <f t="shared" si="2"/>
        <v>349225.96</v>
      </c>
      <c r="H20" s="219">
        <f t="shared" si="2"/>
        <v>9216</v>
      </c>
      <c r="I20" s="194">
        <f t="shared" si="2"/>
        <v>352353.16000000003</v>
      </c>
      <c r="J20" s="240">
        <f t="shared" si="2"/>
        <v>9188</v>
      </c>
      <c r="K20" s="241">
        <f t="shared" si="2"/>
        <v>336958.27</v>
      </c>
      <c r="L20" s="219">
        <f t="shared" si="2"/>
        <v>9776</v>
      </c>
      <c r="M20" s="194">
        <f t="shared" si="2"/>
        <v>361251.82</v>
      </c>
      <c r="N20" s="240">
        <f t="shared" si="2"/>
        <v>9493</v>
      </c>
      <c r="O20" s="241">
        <f t="shared" si="2"/>
        <v>374034.55999999994</v>
      </c>
      <c r="P20" s="219">
        <f t="shared" si="2"/>
        <v>9556</v>
      </c>
      <c r="Q20" s="194">
        <f t="shared" si="2"/>
        <v>406393.01</v>
      </c>
      <c r="R20" s="240">
        <f t="shared" si="2"/>
        <v>9902</v>
      </c>
      <c r="S20" s="241">
        <f t="shared" si="2"/>
        <v>431431.92</v>
      </c>
      <c r="T20" s="219">
        <f t="shared" si="2"/>
        <v>9434</v>
      </c>
      <c r="U20" s="194">
        <f t="shared" si="2"/>
        <v>424662.9</v>
      </c>
      <c r="V20" s="240">
        <f t="shared" si="2"/>
        <v>9754</v>
      </c>
      <c r="W20" s="241">
        <f t="shared" si="2"/>
        <v>450460.79000000004</v>
      </c>
      <c r="X20" s="219">
        <f t="shared" si="2"/>
        <v>8998</v>
      </c>
      <c r="Y20" s="208">
        <f t="shared" si="2"/>
        <v>435274.74</v>
      </c>
      <c r="Z20" s="288">
        <f>B20+D20+F20+H20+J20+L20+N20+P20+R20+T20+V20+X20</f>
        <v>112806</v>
      </c>
      <c r="AA20" s="289">
        <f t="shared" si="1"/>
        <v>4604014.8</v>
      </c>
      <c r="AB20" s="312"/>
    </row>
    <row r="21" spans="1:30" s="176" customFormat="1" ht="13.5" thickTop="1" x14ac:dyDescent="0.2">
      <c r="A21" s="168"/>
      <c r="B21" s="230"/>
      <c r="C21" s="242"/>
      <c r="D21" s="182"/>
      <c r="E21" s="195"/>
      <c r="F21" s="232"/>
      <c r="G21" s="242"/>
      <c r="H21" s="182"/>
      <c r="I21" s="195"/>
      <c r="J21" s="232"/>
      <c r="K21" s="242"/>
      <c r="L21" s="182"/>
      <c r="M21" s="195"/>
      <c r="N21" s="232"/>
      <c r="O21" s="242"/>
      <c r="P21" s="182"/>
      <c r="Q21" s="195"/>
      <c r="R21" s="232"/>
      <c r="S21" s="242"/>
      <c r="T21" s="182"/>
      <c r="U21" s="195"/>
      <c r="V21" s="232"/>
      <c r="W21" s="242"/>
      <c r="X21" s="182"/>
      <c r="Y21" s="195"/>
      <c r="Z21" s="290"/>
      <c r="AA21" s="291"/>
    </row>
    <row r="22" spans="1:30" s="176" customFormat="1" x14ac:dyDescent="0.2">
      <c r="A22" s="169" t="s">
        <v>105</v>
      </c>
      <c r="B22" s="234">
        <v>9951</v>
      </c>
      <c r="C22" s="244">
        <v>2673304.12</v>
      </c>
      <c r="D22" s="209">
        <v>11158</v>
      </c>
      <c r="E22" s="211">
        <v>2965379.52</v>
      </c>
      <c r="F22" s="234">
        <v>10607</v>
      </c>
      <c r="G22" s="244">
        <v>2944713.77</v>
      </c>
      <c r="H22" s="209"/>
      <c r="I22" s="211">
        <v>2792644.29</v>
      </c>
      <c r="J22" s="234"/>
      <c r="K22" s="244">
        <v>2845991.6</v>
      </c>
      <c r="L22" s="209"/>
      <c r="M22" s="211">
        <v>2561923.44</v>
      </c>
      <c r="N22" s="234"/>
      <c r="O22" s="261">
        <v>2504178.94</v>
      </c>
      <c r="P22" s="209"/>
      <c r="Q22" s="211">
        <v>2793141.14</v>
      </c>
      <c r="R22" s="234"/>
      <c r="S22" s="244">
        <v>2905519.09</v>
      </c>
      <c r="T22" s="209"/>
      <c r="U22" s="211">
        <v>2846671.32</v>
      </c>
      <c r="V22" s="234"/>
      <c r="W22" s="244">
        <v>3024654.19</v>
      </c>
      <c r="X22" s="209"/>
      <c r="Y22" s="211">
        <v>2848782.29</v>
      </c>
      <c r="Z22" s="292"/>
      <c r="AA22" s="293">
        <f>SUM(C22,E22,G22,I22,K22,M22,O22,Q22,S22,U22,W22,Y22)</f>
        <v>33706903.710000001</v>
      </c>
    </row>
    <row r="23" spans="1:30" x14ac:dyDescent="0.2">
      <c r="A23" s="45" t="s">
        <v>111</v>
      </c>
      <c r="B23" s="245"/>
      <c r="C23" s="246">
        <f>C20/C22</f>
        <v>0.11732240176250505</v>
      </c>
      <c r="D23" s="307"/>
      <c r="E23" s="308">
        <f>E20/E22</f>
        <v>0.12420980434909053</v>
      </c>
      <c r="F23" s="245"/>
      <c r="G23" s="246">
        <f>G20/G22</f>
        <v>0.11859419531970336</v>
      </c>
      <c r="H23" s="307"/>
      <c r="I23" s="308">
        <f>I20/I22</f>
        <v>0.12617187275218644</v>
      </c>
      <c r="J23" s="245"/>
      <c r="K23" s="246">
        <f>K20/K22</f>
        <v>0.11839749281059017</v>
      </c>
      <c r="L23" s="307"/>
      <c r="M23" s="308">
        <f>M20/M22</f>
        <v>0.1410080466729326</v>
      </c>
      <c r="N23" s="245"/>
      <c r="O23" s="246">
        <f>O20/O22</f>
        <v>0.14936415047081258</v>
      </c>
      <c r="P23" s="307"/>
      <c r="Q23" s="308">
        <f>Q20/Q22</f>
        <v>0.14549676855928589</v>
      </c>
      <c r="R23" s="245"/>
      <c r="S23" s="246">
        <f>S20/S22</f>
        <v>0.14848703678625633</v>
      </c>
      <c r="T23" s="307"/>
      <c r="U23" s="308">
        <f>U20/U22</f>
        <v>0.1491787608272247</v>
      </c>
      <c r="V23" s="245"/>
      <c r="W23" s="246">
        <f>W20/W22</f>
        <v>0.14892968309874791</v>
      </c>
      <c r="X23" s="307"/>
      <c r="Y23" s="308">
        <f>Y20/Y22</f>
        <v>0.15279326241528973</v>
      </c>
      <c r="Z23" s="309"/>
      <c r="AA23" s="310">
        <f>AA20/AA22</f>
        <v>0.13658966838399053</v>
      </c>
    </row>
    <row r="24" spans="1:30" x14ac:dyDescent="0.2">
      <c r="A24" s="45"/>
      <c r="B24" s="307"/>
      <c r="C24" s="308"/>
      <c r="D24" s="307"/>
      <c r="E24" s="308"/>
      <c r="F24" s="307"/>
      <c r="G24" s="308"/>
      <c r="H24" s="307"/>
      <c r="I24" s="308"/>
      <c r="J24" s="307"/>
      <c r="K24" s="308"/>
      <c r="L24" s="307"/>
      <c r="M24" s="308"/>
      <c r="N24" s="307"/>
      <c r="O24" s="308"/>
      <c r="P24" s="307"/>
      <c r="Q24" s="308"/>
      <c r="R24" s="307"/>
      <c r="S24" s="308"/>
      <c r="T24" s="307"/>
      <c r="U24" s="308"/>
      <c r="V24" s="307"/>
      <c r="W24" s="308"/>
      <c r="X24" s="307"/>
      <c r="Y24" s="308"/>
      <c r="Z24" s="307"/>
      <c r="AA24" s="308"/>
    </row>
    <row r="25" spans="1:30" s="176" customFormat="1" x14ac:dyDescent="0.2">
      <c r="A25" s="203"/>
      <c r="B25" s="179"/>
      <c r="C25" s="178"/>
      <c r="D25" s="174"/>
      <c r="E25" s="178"/>
      <c r="F25" s="174"/>
      <c r="G25" s="178"/>
      <c r="H25" s="174"/>
      <c r="I25" s="178"/>
      <c r="J25" s="174"/>
      <c r="K25" s="178"/>
      <c r="L25" s="174"/>
      <c r="M25" s="178"/>
      <c r="N25" s="174"/>
      <c r="O25" s="178"/>
      <c r="P25" s="174"/>
      <c r="R25" s="179"/>
      <c r="T25" s="179"/>
      <c r="U25" s="187"/>
      <c r="V25" s="174"/>
      <c r="W25" s="178"/>
      <c r="X25" s="174"/>
      <c r="Z25" s="179"/>
    </row>
    <row r="26" spans="1:30" s="171" customFormat="1" ht="29.25" customHeight="1" x14ac:dyDescent="0.2">
      <c r="A26" s="305" t="s">
        <v>109</v>
      </c>
      <c r="B26" s="212"/>
      <c r="C26" s="213">
        <f>C20-C10</f>
        <v>146044.71000000002</v>
      </c>
      <c r="D26" s="212"/>
      <c r="E26" s="213">
        <f>E20-E10</f>
        <v>179885.25999999995</v>
      </c>
      <c r="F26" s="212"/>
      <c r="G26" s="213">
        <f>G20-G10</f>
        <v>177612.54000000004</v>
      </c>
      <c r="H26" s="212"/>
      <c r="I26" s="213">
        <f>I20-I10</f>
        <v>182678.22000000003</v>
      </c>
      <c r="J26" s="212"/>
      <c r="K26" s="213">
        <f>K20-K10</f>
        <v>180378.38000000003</v>
      </c>
      <c r="L26" s="212"/>
      <c r="M26" s="213">
        <f>M20-M10</f>
        <v>188247.93000000002</v>
      </c>
      <c r="N26" s="212"/>
      <c r="O26" s="213">
        <f>O20-O10</f>
        <v>196236.32999999993</v>
      </c>
      <c r="P26" s="212"/>
      <c r="Q26" s="213">
        <f>Q20-Q10</f>
        <v>228233.25</v>
      </c>
      <c r="R26" s="212"/>
      <c r="S26" s="213">
        <f>S20-S10</f>
        <v>250108.50999999998</v>
      </c>
      <c r="T26" s="212"/>
      <c r="U26" s="213">
        <f>U20-U10</f>
        <v>240535.41000000003</v>
      </c>
      <c r="V26" s="212"/>
      <c r="W26" s="213">
        <f>W20-W10</f>
        <v>267392.95000000007</v>
      </c>
      <c r="X26" s="212"/>
      <c r="Y26" s="213">
        <f>Y20-Y10</f>
        <v>266298.03000000003</v>
      </c>
      <c r="Z26" s="212"/>
      <c r="AA26" s="213">
        <f>AA20-AA10</f>
        <v>2503651.5199999996</v>
      </c>
      <c r="AB26" s="196"/>
      <c r="AC26" s="196"/>
      <c r="AD26" s="196"/>
    </row>
    <row r="27" spans="1:30" s="176" customFormat="1" x14ac:dyDescent="0.2">
      <c r="A27" s="203"/>
      <c r="B27" s="179"/>
      <c r="D27" s="179"/>
      <c r="F27" s="179"/>
      <c r="H27" s="179"/>
      <c r="J27" s="179"/>
      <c r="L27" s="179"/>
      <c r="N27" s="179"/>
      <c r="O27" s="178"/>
      <c r="P27" s="174"/>
      <c r="R27" s="179"/>
      <c r="T27" s="179"/>
      <c r="U27" s="197"/>
      <c r="V27" s="179"/>
      <c r="X27" s="179"/>
      <c r="Z27" s="179"/>
    </row>
    <row r="28" spans="1:30" s="176" customFormat="1" x14ac:dyDescent="0.2">
      <c r="A28" s="218" t="s">
        <v>107</v>
      </c>
      <c r="B28" s="179"/>
      <c r="D28" s="179"/>
      <c r="F28" s="179"/>
      <c r="H28" s="179"/>
      <c r="J28" s="179"/>
      <c r="L28" s="179"/>
      <c r="N28" s="179"/>
      <c r="O28" s="178"/>
      <c r="P28" s="174"/>
      <c r="R28" s="179"/>
      <c r="T28" s="179"/>
      <c r="U28" s="197"/>
      <c r="V28" s="179"/>
      <c r="X28" s="179"/>
      <c r="Z28" s="179"/>
    </row>
    <row r="29" spans="1:30" s="176" customFormat="1" x14ac:dyDescent="0.2">
      <c r="A29" s="218" t="s">
        <v>124</v>
      </c>
      <c r="B29" s="179"/>
      <c r="D29" s="179"/>
      <c r="F29" s="179"/>
      <c r="H29" s="179"/>
      <c r="J29" s="179"/>
      <c r="L29" s="179"/>
      <c r="N29" s="179"/>
      <c r="O29" s="178"/>
      <c r="P29" s="179"/>
      <c r="R29" s="179"/>
      <c r="T29" s="179"/>
      <c r="U29" s="197"/>
      <c r="V29" s="179"/>
      <c r="X29" s="179"/>
      <c r="Z29" s="179"/>
    </row>
    <row r="30" spans="1:30" s="176" customFormat="1" x14ac:dyDescent="0.2">
      <c r="A30" s="218" t="s">
        <v>110</v>
      </c>
      <c r="B30" s="179"/>
      <c r="D30" s="179"/>
      <c r="F30" s="179"/>
      <c r="H30" s="179"/>
      <c r="J30" s="179"/>
      <c r="L30" s="179"/>
      <c r="N30" s="179"/>
      <c r="O30" s="178"/>
      <c r="P30" s="174"/>
      <c r="R30" s="179"/>
      <c r="T30" s="179"/>
      <c r="U30" s="197"/>
      <c r="V30" s="179"/>
      <c r="X30" s="179"/>
      <c r="Z30" s="179"/>
      <c r="AA30" s="306"/>
    </row>
    <row r="31" spans="1:30" s="176" customFormat="1" x14ac:dyDescent="0.2">
      <c r="A31" s="203"/>
      <c r="B31" s="198"/>
      <c r="C31" s="199"/>
      <c r="D31" s="198"/>
      <c r="E31" s="199"/>
      <c r="F31" s="198"/>
      <c r="G31" s="199"/>
      <c r="H31" s="198"/>
      <c r="I31" s="199"/>
      <c r="J31" s="200"/>
      <c r="K31" s="201"/>
      <c r="L31" s="200"/>
      <c r="M31" s="201"/>
      <c r="N31" s="200"/>
      <c r="O31" s="178"/>
      <c r="P31" s="174"/>
      <c r="R31" s="179"/>
      <c r="T31" s="179"/>
      <c r="U31" s="197"/>
      <c r="V31" s="179"/>
      <c r="X31" s="179"/>
      <c r="Z31" s="179"/>
    </row>
    <row r="32" spans="1:30" x14ac:dyDescent="0.2">
      <c r="A32" s="207"/>
    </row>
    <row r="33" spans="1:27" x14ac:dyDescent="0.2">
      <c r="A33" s="214"/>
      <c r="B33" s="215"/>
      <c r="C33" s="216"/>
      <c r="D33" s="215"/>
      <c r="E33" s="216"/>
      <c r="F33" s="215"/>
      <c r="G33" s="216"/>
      <c r="H33" s="217"/>
      <c r="I33" s="216"/>
    </row>
    <row r="36" spans="1:27" x14ac:dyDescent="0.2">
      <c r="E36" s="51"/>
    </row>
    <row r="37" spans="1:27" x14ac:dyDescent="0.2">
      <c r="AA37" s="38"/>
    </row>
    <row r="39" spans="1:27" x14ac:dyDescent="0.2">
      <c r="U39" s="80"/>
    </row>
  </sheetData>
  <pageMargins left="0.17" right="0.16" top="1" bottom="1" header="0.5" footer="0.5"/>
  <pageSetup paperSize="5" scale="63" orientation="landscape" cellComments="asDisplayed" r:id="rId1"/>
  <headerFooter alignWithMargins="0">
    <oddFooter xml:space="preserve">&amp;L&amp;8&amp;Z&amp;F&amp;R&amp;8Prepared by Kathy Adair
&amp;D
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workbookViewId="0"/>
  </sheetViews>
  <sheetFormatPr defaultRowHeight="12.75" x14ac:dyDescent="0.2"/>
  <cols>
    <col min="1" max="1" width="33.7109375" customWidth="1"/>
    <col min="2" max="2" width="5.5703125" style="88" bestFit="1" customWidth="1"/>
    <col min="3" max="3" width="11.28515625" bestFit="1" customWidth="1"/>
    <col min="4" max="4" width="5.5703125" style="88" bestFit="1" customWidth="1"/>
    <col min="5" max="5" width="11.85546875" customWidth="1"/>
    <col min="6" max="6" width="5.5703125" style="88" bestFit="1" customWidth="1"/>
    <col min="7" max="7" width="11.85546875" customWidth="1"/>
    <col min="8" max="8" width="5.5703125" style="96" customWidth="1"/>
    <col min="9" max="9" width="12.42578125" customWidth="1"/>
    <col min="10" max="10" width="5.5703125" style="96" customWidth="1"/>
    <col min="11" max="11" width="11.7109375" customWidth="1"/>
    <col min="12" max="12" width="5.5703125" style="88" customWidth="1"/>
    <col min="13" max="13" width="11.85546875" customWidth="1"/>
    <col min="14" max="14" width="6.42578125" style="88" customWidth="1"/>
    <col min="15" max="15" width="11.28515625" style="26" customWidth="1"/>
    <col min="16" max="16" width="5.5703125" style="90" customWidth="1"/>
    <col min="17" max="17" width="11.28515625" customWidth="1"/>
    <col min="18" max="18" width="6.5703125" style="96" customWidth="1"/>
    <col min="19" max="19" width="11.28515625" style="6" customWidth="1"/>
    <col min="20" max="20" width="6.5703125" style="88" bestFit="1" customWidth="1"/>
    <col min="21" max="21" width="11.28515625" style="71" customWidth="1"/>
    <col min="22" max="22" width="6.42578125" style="88" customWidth="1"/>
    <col min="23" max="23" width="12.42578125" style="6" customWidth="1"/>
    <col min="24" max="24" width="6.5703125" style="88" customWidth="1"/>
    <col min="25" max="25" width="12" style="6" customWidth="1"/>
    <col min="26" max="26" width="7.5703125" style="88" customWidth="1"/>
    <col min="27" max="27" width="12.28515625" style="6" bestFit="1" customWidth="1"/>
  </cols>
  <sheetData>
    <row r="1" spans="1:29" ht="18" x14ac:dyDescent="0.25">
      <c r="A1" s="152" t="s">
        <v>55</v>
      </c>
    </row>
    <row r="2" spans="1:29" x14ac:dyDescent="0.2">
      <c r="Z2" s="272" t="s">
        <v>29</v>
      </c>
      <c r="AA2" s="273" t="s">
        <v>29</v>
      </c>
    </row>
    <row r="3" spans="1:29" x14ac:dyDescent="0.2">
      <c r="B3" s="225" t="s">
        <v>38</v>
      </c>
      <c r="C3" s="226" t="s">
        <v>21</v>
      </c>
      <c r="D3" s="88" t="s">
        <v>38</v>
      </c>
      <c r="E3" s="6" t="s">
        <v>22</v>
      </c>
      <c r="F3" s="88" t="s">
        <v>38</v>
      </c>
      <c r="G3" s="226" t="s">
        <v>23</v>
      </c>
      <c r="H3" s="225" t="s">
        <v>38</v>
      </c>
      <c r="I3" s="6" t="s">
        <v>24</v>
      </c>
      <c r="J3" s="88" t="s">
        <v>38</v>
      </c>
      <c r="K3" s="226" t="s">
        <v>25</v>
      </c>
      <c r="L3" s="88" t="s">
        <v>38</v>
      </c>
      <c r="M3" s="6" t="s">
        <v>20</v>
      </c>
      <c r="N3" s="225" t="s">
        <v>38</v>
      </c>
      <c r="O3" s="331" t="s">
        <v>4</v>
      </c>
      <c r="P3" s="88" t="s">
        <v>38</v>
      </c>
      <c r="Q3" t="s">
        <v>5</v>
      </c>
      <c r="R3" s="225" t="s">
        <v>38</v>
      </c>
      <c r="S3" s="226" t="s">
        <v>6</v>
      </c>
      <c r="T3" s="88" t="s">
        <v>38</v>
      </c>
      <c r="U3" s="72" t="s">
        <v>7</v>
      </c>
      <c r="V3" s="225" t="s">
        <v>38</v>
      </c>
      <c r="W3" s="226" t="s">
        <v>8</v>
      </c>
      <c r="X3" s="88" t="s">
        <v>38</v>
      </c>
      <c r="Y3" s="6" t="s">
        <v>9</v>
      </c>
      <c r="Z3" s="272" t="s">
        <v>38</v>
      </c>
      <c r="AA3" s="274" t="s">
        <v>52</v>
      </c>
    </row>
    <row r="4" spans="1:29" x14ac:dyDescent="0.2">
      <c r="B4" s="225"/>
      <c r="C4" s="226"/>
      <c r="E4" s="6"/>
      <c r="G4" s="226"/>
      <c r="H4" s="255"/>
      <c r="I4" s="6"/>
      <c r="K4" s="226"/>
      <c r="M4" s="6"/>
      <c r="N4" s="225"/>
      <c r="O4" s="331"/>
      <c r="P4" s="105"/>
      <c r="R4" s="255"/>
      <c r="S4" s="226"/>
      <c r="U4" s="72"/>
      <c r="V4" s="336"/>
      <c r="W4" s="226"/>
      <c r="Z4" s="272"/>
      <c r="AA4" s="273"/>
    </row>
    <row r="5" spans="1:29" s="29" customFormat="1" x14ac:dyDescent="0.2">
      <c r="A5" s="21" t="s">
        <v>112</v>
      </c>
      <c r="B5" s="313"/>
      <c r="C5" s="314"/>
      <c r="D5" s="89"/>
      <c r="E5" s="28"/>
      <c r="F5" s="90"/>
      <c r="G5" s="314"/>
      <c r="H5" s="324"/>
      <c r="I5" s="28"/>
      <c r="J5" s="97"/>
      <c r="K5" s="314"/>
      <c r="L5" s="89"/>
      <c r="M5" s="28"/>
      <c r="N5" s="327"/>
      <c r="O5" s="332"/>
      <c r="P5" s="104"/>
      <c r="R5" s="327"/>
      <c r="S5" s="314"/>
      <c r="T5" s="89"/>
      <c r="U5" s="73"/>
      <c r="V5" s="313"/>
      <c r="W5" s="332"/>
      <c r="X5" s="89"/>
      <c r="Y5" s="28"/>
      <c r="Z5" s="344"/>
      <c r="AA5" s="345"/>
    </row>
    <row r="6" spans="1:29" s="29" customFormat="1" x14ac:dyDescent="0.2">
      <c r="A6" s="27" t="s">
        <v>113</v>
      </c>
      <c r="B6" s="313">
        <v>2350</v>
      </c>
      <c r="C6" s="314">
        <v>74148.160000000003</v>
      </c>
      <c r="D6" s="89">
        <v>2288</v>
      </c>
      <c r="E6" s="28">
        <v>70027.89</v>
      </c>
      <c r="F6" s="90">
        <v>2144</v>
      </c>
      <c r="G6" s="314">
        <v>65783.92</v>
      </c>
      <c r="H6" s="324">
        <v>2452</v>
      </c>
      <c r="I6" s="28">
        <v>76007.89</v>
      </c>
      <c r="J6" s="97">
        <v>2293</v>
      </c>
      <c r="K6" s="314">
        <v>69995.08</v>
      </c>
      <c r="L6" s="89">
        <v>2117</v>
      </c>
      <c r="M6" s="28">
        <v>63644.92</v>
      </c>
      <c r="N6" s="327">
        <v>2489</v>
      </c>
      <c r="O6" s="262">
        <v>73981.37</v>
      </c>
      <c r="P6" s="104">
        <v>2255</v>
      </c>
      <c r="Q6" s="29">
        <v>68810.740000000005</v>
      </c>
      <c r="R6" s="313">
        <v>2603</v>
      </c>
      <c r="S6" s="314">
        <v>83321.759999999995</v>
      </c>
      <c r="T6" s="89">
        <v>2713</v>
      </c>
      <c r="U6" s="73">
        <v>86786.75</v>
      </c>
      <c r="V6" s="313">
        <v>2596</v>
      </c>
      <c r="W6" s="332">
        <v>83449.98</v>
      </c>
      <c r="X6" s="89">
        <v>2720</v>
      </c>
      <c r="Y6" s="28">
        <v>93393.29</v>
      </c>
      <c r="Z6" s="344">
        <f>SUM(B6+D6+F6+H6+J6+L6+N6+P6+R6+T6+V6+X6)</f>
        <v>29020</v>
      </c>
      <c r="AA6" s="346">
        <f t="shared" ref="AA6:AA12" si="0">SUM(C6,E6,G6,I6,K6,M6,O6,Q6,S6,U6,W6,Y6)</f>
        <v>909351.75</v>
      </c>
    </row>
    <row r="7" spans="1:29" x14ac:dyDescent="0.2">
      <c r="A7" t="s">
        <v>114</v>
      </c>
      <c r="B7" s="315">
        <v>5477</v>
      </c>
      <c r="C7" s="316">
        <v>146937</v>
      </c>
      <c r="D7" s="153">
        <v>6180</v>
      </c>
      <c r="E7" s="31">
        <v>177344.68</v>
      </c>
      <c r="F7" s="153">
        <v>6137</v>
      </c>
      <c r="G7" s="316">
        <v>174099.9</v>
      </c>
      <c r="H7" s="325">
        <v>6309</v>
      </c>
      <c r="I7" s="31">
        <v>181083.99</v>
      </c>
      <c r="J7" s="133">
        <v>6550</v>
      </c>
      <c r="K7" s="316">
        <v>192872.02</v>
      </c>
      <c r="L7" s="153">
        <v>6116</v>
      </c>
      <c r="M7" s="31">
        <v>165203</v>
      </c>
      <c r="N7" s="333">
        <v>6452</v>
      </c>
      <c r="O7" s="334">
        <v>175637.34</v>
      </c>
      <c r="P7" s="166">
        <v>6477</v>
      </c>
      <c r="Q7" s="33">
        <v>177443.58</v>
      </c>
      <c r="R7" s="333">
        <v>7050</v>
      </c>
      <c r="S7" s="316">
        <v>195805.7</v>
      </c>
      <c r="T7" s="153">
        <v>6596</v>
      </c>
      <c r="U7" s="155">
        <v>185228.61</v>
      </c>
      <c r="V7" s="341">
        <v>6652</v>
      </c>
      <c r="W7" s="334">
        <v>190250</v>
      </c>
      <c r="X7" s="153">
        <v>6483</v>
      </c>
      <c r="Y7" s="31">
        <v>255607</v>
      </c>
      <c r="Z7" s="344">
        <f>SUM(B7+D7+F7+H7+J7+L7+N7+P7+R7+T7+V7+X7)</f>
        <v>76479</v>
      </c>
      <c r="AA7" s="347">
        <f t="shared" si="0"/>
        <v>2217512.8199999998</v>
      </c>
    </row>
    <row r="8" spans="1:29" x14ac:dyDescent="0.2">
      <c r="A8" s="165" t="s">
        <v>58</v>
      </c>
      <c r="B8" s="225"/>
      <c r="C8" s="317">
        <f>SUM(C6:C7)</f>
        <v>221085.16</v>
      </c>
      <c r="E8" s="167">
        <f t="shared" ref="E8:M8" si="1">SUM(E6:E7)</f>
        <v>247372.57</v>
      </c>
      <c r="G8" s="317">
        <f t="shared" si="1"/>
        <v>239883.82</v>
      </c>
      <c r="H8" s="225"/>
      <c r="I8" s="167">
        <f t="shared" si="1"/>
        <v>257091.88</v>
      </c>
      <c r="J8" s="88"/>
      <c r="K8" s="317">
        <f t="shared" si="1"/>
        <v>262867.09999999998</v>
      </c>
      <c r="M8" s="167">
        <f t="shared" si="1"/>
        <v>228847.91999999998</v>
      </c>
      <c r="N8" s="225"/>
      <c r="O8" s="317">
        <f>SUM(O6:O7)</f>
        <v>249618.71</v>
      </c>
      <c r="P8" s="88"/>
      <c r="Q8" s="167">
        <f>SUM(Q6:Q7)</f>
        <v>246254.32</v>
      </c>
      <c r="R8" s="225"/>
      <c r="S8" s="317">
        <f>SUM(S6:S7)</f>
        <v>279127.46000000002</v>
      </c>
      <c r="U8" s="167">
        <f>SUM(U6:U7)</f>
        <v>272015.35999999999</v>
      </c>
      <c r="V8" s="225"/>
      <c r="W8" s="317">
        <f>SUM(W6:W7)</f>
        <v>273699.98</v>
      </c>
      <c r="Y8" s="167">
        <f>SUM(Y6:Y7)</f>
        <v>349000.29</v>
      </c>
      <c r="Z8" s="344"/>
      <c r="AA8" s="348">
        <f t="shared" si="0"/>
        <v>3126864.57</v>
      </c>
    </row>
    <row r="9" spans="1:29" x14ac:dyDescent="0.2">
      <c r="A9" s="165" t="s">
        <v>59</v>
      </c>
      <c r="B9" s="318">
        <f>384+3+208+343+1+181</f>
        <v>1120</v>
      </c>
      <c r="C9" s="316">
        <f>10921+37826.55</f>
        <v>48747.55</v>
      </c>
      <c r="D9" s="91">
        <f>352+4+205+416+3+210+1</f>
        <v>1191</v>
      </c>
      <c r="E9" s="31">
        <f>10596-208+37862.5</f>
        <v>48250.5</v>
      </c>
      <c r="F9" s="91">
        <f>306+2+179+393+2+201</f>
        <v>1083</v>
      </c>
      <c r="G9" s="316">
        <f>6255+25513.6</f>
        <v>31768.6</v>
      </c>
      <c r="H9" s="326">
        <f>286+8+193+411+197</f>
        <v>1095</v>
      </c>
      <c r="I9" s="31">
        <f>7293+21514.8</f>
        <v>28807.8</v>
      </c>
      <c r="J9" s="99">
        <f>277+7+213+413+227</f>
        <v>1137</v>
      </c>
      <c r="K9" s="316">
        <f>8350+28689.2</f>
        <v>37039.199999999997</v>
      </c>
      <c r="L9" s="91">
        <v>1153</v>
      </c>
      <c r="M9" s="31">
        <v>32767.07</v>
      </c>
      <c r="N9" s="335">
        <v>1226</v>
      </c>
      <c r="O9" s="334">
        <v>43861.59</v>
      </c>
      <c r="P9" s="91">
        <v>1233</v>
      </c>
      <c r="Q9" s="33">
        <v>34032.85</v>
      </c>
      <c r="R9" s="335">
        <v>1347</v>
      </c>
      <c r="S9" s="338">
        <v>47090.48</v>
      </c>
      <c r="T9" s="91">
        <v>1282</v>
      </c>
      <c r="U9" s="155">
        <v>45960.28</v>
      </c>
      <c r="V9" s="342">
        <v>1250</v>
      </c>
      <c r="W9" s="316">
        <v>44503.45</v>
      </c>
      <c r="X9" s="91">
        <v>1228</v>
      </c>
      <c r="Y9" s="32">
        <v>50850.22</v>
      </c>
      <c r="Z9" s="344">
        <f>SUM(B9+D9+F9+H9+J9+L9+N9+P9+R9+T9+V9+X9)</f>
        <v>14345</v>
      </c>
      <c r="AA9" s="347">
        <f t="shared" si="0"/>
        <v>493679.58999999997</v>
      </c>
      <c r="AC9" s="164"/>
    </row>
    <row r="10" spans="1:29" x14ac:dyDescent="0.2">
      <c r="A10" t="s">
        <v>115</v>
      </c>
      <c r="B10" s="225"/>
      <c r="C10" s="319">
        <f>SUM(C8:C9)</f>
        <v>269832.71000000002</v>
      </c>
      <c r="D10" s="89"/>
      <c r="E10" s="29">
        <f>SUM(E8:E9)</f>
        <v>295623.07</v>
      </c>
      <c r="F10" s="89"/>
      <c r="G10" s="319">
        <f>SUM(G8:G9)</f>
        <v>271652.42</v>
      </c>
      <c r="H10" s="327"/>
      <c r="I10" s="29">
        <f>SUM(I8:I9)</f>
        <v>285899.68</v>
      </c>
      <c r="J10" s="89"/>
      <c r="K10" s="319">
        <f>SUM(K8:K9)</f>
        <v>299906.3</v>
      </c>
      <c r="L10" s="89"/>
      <c r="M10" s="29">
        <f>SUM(M8:M9)</f>
        <v>261614.99</v>
      </c>
      <c r="N10" s="327"/>
      <c r="O10" s="319">
        <f>SUM(O8:O9)</f>
        <v>293480.3</v>
      </c>
      <c r="P10" s="89"/>
      <c r="Q10" s="29">
        <f>SUM(Q8:Q9)</f>
        <v>280287.17</v>
      </c>
      <c r="R10" s="327"/>
      <c r="S10" s="319">
        <f>SUM(S8:S9)</f>
        <v>326217.94</v>
      </c>
      <c r="T10" s="89"/>
      <c r="U10" s="29">
        <f>SUM(U8:U9)</f>
        <v>317975.64</v>
      </c>
      <c r="V10" s="327"/>
      <c r="W10" s="319">
        <f>SUM(W8:W9)</f>
        <v>318203.43</v>
      </c>
      <c r="X10" s="89"/>
      <c r="Y10" s="29">
        <f>SUM(Y8:Y9)</f>
        <v>399850.51</v>
      </c>
      <c r="Z10" s="344"/>
      <c r="AA10" s="349">
        <f t="shared" si="0"/>
        <v>3620544.16</v>
      </c>
    </row>
    <row r="11" spans="1:29" x14ac:dyDescent="0.2">
      <c r="A11" t="s">
        <v>121</v>
      </c>
      <c r="B11" s="318"/>
      <c r="C11" s="320">
        <v>33333.339999999997</v>
      </c>
      <c r="D11" s="91"/>
      <c r="E11" s="33">
        <v>33333.33</v>
      </c>
      <c r="F11" s="91"/>
      <c r="G11" s="320">
        <v>33333.33</v>
      </c>
      <c r="H11" s="326"/>
      <c r="I11" s="33">
        <v>33333.339999999997</v>
      </c>
      <c r="J11" s="99"/>
      <c r="K11" s="320">
        <v>33333.33</v>
      </c>
      <c r="L11" s="91"/>
      <c r="M11" s="33">
        <v>33333.33</v>
      </c>
      <c r="N11" s="335"/>
      <c r="O11" s="320">
        <v>33333.339999999997</v>
      </c>
      <c r="P11" s="91"/>
      <c r="Q11" s="33">
        <v>33333.33</v>
      </c>
      <c r="R11" s="326"/>
      <c r="S11" s="320">
        <v>33333.33</v>
      </c>
      <c r="T11" s="91"/>
      <c r="U11" s="33">
        <v>33333.339999999997</v>
      </c>
      <c r="V11" s="335"/>
      <c r="W11" s="316">
        <v>33333.33</v>
      </c>
      <c r="X11" s="91"/>
      <c r="Y11" s="31">
        <v>33333.33</v>
      </c>
      <c r="Z11" s="350"/>
      <c r="AA11" s="347">
        <f t="shared" si="0"/>
        <v>400000</v>
      </c>
    </row>
    <row r="12" spans="1:29" x14ac:dyDescent="0.2">
      <c r="A12" t="s">
        <v>118</v>
      </c>
      <c r="B12" s="225"/>
      <c r="C12" s="248">
        <f>SUM(C10:C11)</f>
        <v>303166.05000000005</v>
      </c>
      <c r="D12" s="90"/>
      <c r="E12" s="26">
        <f>SUM(E10:E11)</f>
        <v>328956.40000000002</v>
      </c>
      <c r="F12" s="90"/>
      <c r="G12" s="248">
        <f>SUM(G10:G11)</f>
        <v>304985.75</v>
      </c>
      <c r="H12" s="328"/>
      <c r="I12" s="26">
        <f>SUM(I10:I11)</f>
        <v>319233.02</v>
      </c>
      <c r="J12" s="98"/>
      <c r="K12" s="248">
        <f>SUM(K10:K11)</f>
        <v>333239.63</v>
      </c>
      <c r="L12" s="90"/>
      <c r="M12" s="26">
        <f>SUM(M10:M11)</f>
        <v>294948.32</v>
      </c>
      <c r="N12" s="247"/>
      <c r="O12" s="248">
        <f>SUM(O10:O11)</f>
        <v>326813.64</v>
      </c>
      <c r="Q12" s="26">
        <f>SUM(Q10:Q11)</f>
        <v>313620.5</v>
      </c>
      <c r="R12" s="328"/>
      <c r="S12" s="248">
        <f>SUM(S10:S11)</f>
        <v>359551.27</v>
      </c>
      <c r="T12" s="90"/>
      <c r="U12" s="26">
        <f>SUM(U10:U11)</f>
        <v>351308.98</v>
      </c>
      <c r="V12" s="247"/>
      <c r="W12" s="262">
        <f>SUM(W10:W11)</f>
        <v>351536.76</v>
      </c>
      <c r="X12" s="90"/>
      <c r="Y12" s="30">
        <f>SUM(Y10:Y11)</f>
        <v>433183.84</v>
      </c>
      <c r="Z12" s="351"/>
      <c r="AA12" s="345">
        <f t="shared" si="0"/>
        <v>4020544.16</v>
      </c>
    </row>
    <row r="13" spans="1:29" x14ac:dyDescent="0.2">
      <c r="B13" s="225"/>
      <c r="C13" s="248"/>
      <c r="D13" s="90"/>
      <c r="E13" s="26"/>
      <c r="F13" s="90"/>
      <c r="G13" s="248"/>
      <c r="H13" s="328"/>
      <c r="K13" s="227"/>
      <c r="N13" s="225"/>
      <c r="O13" s="248"/>
      <c r="R13" s="255"/>
      <c r="S13" s="226"/>
      <c r="U13" s="77"/>
      <c r="V13" s="247"/>
      <c r="W13" s="262"/>
      <c r="X13" s="90"/>
      <c r="Z13" s="272"/>
      <c r="AA13" s="273"/>
    </row>
    <row r="14" spans="1:29" x14ac:dyDescent="0.2">
      <c r="A14" t="s">
        <v>116</v>
      </c>
      <c r="B14" s="225"/>
      <c r="C14" s="227"/>
      <c r="D14" s="90"/>
      <c r="E14" s="26"/>
      <c r="F14" s="90"/>
      <c r="G14" s="248"/>
      <c r="H14" s="328"/>
      <c r="K14" s="227"/>
      <c r="N14" s="225"/>
      <c r="O14" s="248"/>
      <c r="R14" s="255"/>
      <c r="S14" s="226"/>
      <c r="U14" s="77"/>
      <c r="V14" s="247"/>
      <c r="W14" s="262"/>
      <c r="X14" s="90"/>
      <c r="Z14" s="272"/>
      <c r="AA14" s="273"/>
    </row>
    <row r="15" spans="1:29" x14ac:dyDescent="0.2">
      <c r="A15" s="4" t="s">
        <v>56</v>
      </c>
      <c r="B15" s="225"/>
      <c r="C15" s="248">
        <v>123833.89</v>
      </c>
      <c r="D15" s="90"/>
      <c r="E15" s="34">
        <v>134764.94</v>
      </c>
      <c r="F15" s="90"/>
      <c r="G15" s="329">
        <v>131877.01999999999</v>
      </c>
      <c r="H15" s="328"/>
      <c r="I15" s="34">
        <v>138254.94</v>
      </c>
      <c r="J15" s="98"/>
      <c r="K15" s="329">
        <v>140430.87</v>
      </c>
      <c r="L15" s="90"/>
      <c r="M15" s="66">
        <v>127853.83</v>
      </c>
      <c r="N15" s="225"/>
      <c r="O15" s="248">
        <v>137791.15</v>
      </c>
      <c r="Q15" s="26">
        <v>136655.75</v>
      </c>
      <c r="R15" s="328"/>
      <c r="S15" s="262">
        <v>152831.39000000001</v>
      </c>
      <c r="T15" s="90"/>
      <c r="U15" s="26">
        <v>155304.73000000001</v>
      </c>
      <c r="V15" s="247"/>
      <c r="W15" s="262">
        <v>156869.60999999999</v>
      </c>
      <c r="X15" s="90"/>
      <c r="Y15" s="156">
        <v>151657.49</v>
      </c>
      <c r="Z15" s="272"/>
      <c r="AA15" s="352">
        <f>SUM(C15:Y15)</f>
        <v>1688125.61</v>
      </c>
    </row>
    <row r="16" spans="1:29" x14ac:dyDescent="0.2">
      <c r="A16" s="4" t="s">
        <v>34</v>
      </c>
      <c r="B16" s="318"/>
      <c r="C16" s="321">
        <v>26187</v>
      </c>
      <c r="D16" s="91"/>
      <c r="E16" s="35">
        <v>28720.9</v>
      </c>
      <c r="F16" s="91"/>
      <c r="G16" s="321">
        <v>28087.09</v>
      </c>
      <c r="H16" s="326"/>
      <c r="I16" s="35">
        <v>28440.41</v>
      </c>
      <c r="J16" s="99"/>
      <c r="K16" s="321">
        <v>28799.52</v>
      </c>
      <c r="L16" s="91"/>
      <c r="M16" s="67">
        <v>26202.7</v>
      </c>
      <c r="N16" s="318"/>
      <c r="O16" s="320">
        <v>23894.31</v>
      </c>
      <c r="P16" s="91"/>
      <c r="Q16" s="33">
        <v>23589.01</v>
      </c>
      <c r="R16" s="326"/>
      <c r="S16" s="316">
        <v>25072.29</v>
      </c>
      <c r="T16" s="91"/>
      <c r="U16" s="33">
        <v>25781.01</v>
      </c>
      <c r="V16" s="335"/>
      <c r="W16" s="316">
        <v>25280.34</v>
      </c>
      <c r="X16" s="91"/>
      <c r="Y16" s="35">
        <v>23535.83</v>
      </c>
      <c r="Z16" s="350"/>
      <c r="AA16" s="347">
        <f>SUM(C16:Y16)</f>
        <v>313590.41000000009</v>
      </c>
    </row>
    <row r="17" spans="1:30" x14ac:dyDescent="0.2">
      <c r="A17" t="s">
        <v>62</v>
      </c>
      <c r="B17" s="225">
        <v>7581</v>
      </c>
      <c r="C17" s="248">
        <f>SUM(C15:C16)</f>
        <v>150020.89000000001</v>
      </c>
      <c r="D17" s="105">
        <v>8626</v>
      </c>
      <c r="E17" s="26">
        <f>SUM(E15:E16)</f>
        <v>163485.84</v>
      </c>
      <c r="F17" s="105">
        <v>8189</v>
      </c>
      <c r="G17" s="248">
        <f>SUM(G15:G16)</f>
        <v>159964.10999999999</v>
      </c>
      <c r="H17" s="330">
        <v>8865</v>
      </c>
      <c r="I17" s="26">
        <f>SUM(I15:I16)</f>
        <v>166695.35</v>
      </c>
      <c r="J17" s="157">
        <v>9059</v>
      </c>
      <c r="K17" s="248">
        <f>SUM(K15:K16)</f>
        <v>169230.38999999998</v>
      </c>
      <c r="L17" s="105">
        <v>8359</v>
      </c>
      <c r="M17" s="26">
        <f>SUM(M15:M16)</f>
        <v>154056.53</v>
      </c>
      <c r="N17" s="336">
        <v>9651</v>
      </c>
      <c r="O17" s="248">
        <f>SUM(O15:O16)</f>
        <v>161685.46</v>
      </c>
      <c r="P17" s="105">
        <v>9520</v>
      </c>
      <c r="Q17" s="26">
        <f>SUM(Q15:Q16)</f>
        <v>160244.76</v>
      </c>
      <c r="R17" s="336">
        <v>10176</v>
      </c>
      <c r="S17" s="248">
        <f>SUM(S15:S16)</f>
        <v>177903.68000000002</v>
      </c>
      <c r="T17" s="105">
        <v>10378</v>
      </c>
      <c r="U17" s="80">
        <f>U15+U16</f>
        <v>181085.74000000002</v>
      </c>
      <c r="V17" s="336">
        <v>10194</v>
      </c>
      <c r="W17" s="343">
        <f>W15+W16</f>
        <v>182149.94999999998</v>
      </c>
      <c r="X17" s="105">
        <v>9546</v>
      </c>
      <c r="Y17" s="34">
        <f>SUM(Y15:Y16)</f>
        <v>175193.32</v>
      </c>
      <c r="Z17" s="353">
        <f>SUM(B17,D17,F17,H17,J17,L17,N17,P17,R17,T17,V17,X17)</f>
        <v>110144</v>
      </c>
      <c r="AA17" s="345">
        <f>SUM(C17,E17,G17,I17,K17,M17,O17,Q17,S17,U17,W17,Y17)</f>
        <v>2001716.02</v>
      </c>
    </row>
    <row r="18" spans="1:30" x14ac:dyDescent="0.2">
      <c r="B18" s="225"/>
      <c r="C18" s="248"/>
      <c r="D18" s="90"/>
      <c r="E18" s="26"/>
      <c r="F18" s="90"/>
      <c r="G18" s="248"/>
      <c r="H18" s="328"/>
      <c r="I18" s="26"/>
      <c r="J18" s="98"/>
      <c r="K18" s="248"/>
      <c r="L18" s="90"/>
      <c r="M18" s="26"/>
      <c r="N18" s="247"/>
      <c r="O18" s="248"/>
      <c r="R18" s="255"/>
      <c r="S18" s="226"/>
      <c r="U18" s="77"/>
      <c r="V18" s="247"/>
      <c r="W18" s="262"/>
      <c r="X18" s="90"/>
      <c r="Z18" s="272"/>
      <c r="AA18" s="273"/>
    </row>
    <row r="19" spans="1:30" s="8" customFormat="1" ht="13.5" thickBot="1" x14ac:dyDescent="0.25">
      <c r="A19" s="360" t="s">
        <v>117</v>
      </c>
      <c r="B19" s="158"/>
      <c r="C19" s="159">
        <f>C12-C17</f>
        <v>153145.16000000003</v>
      </c>
      <c r="D19" s="160"/>
      <c r="E19" s="159">
        <f>E12-E17</f>
        <v>165470.56000000003</v>
      </c>
      <c r="F19" s="160"/>
      <c r="G19" s="159">
        <f>G12-G17</f>
        <v>145021.64000000001</v>
      </c>
      <c r="H19" s="161"/>
      <c r="I19" s="159">
        <f>I12-I17</f>
        <v>152537.67000000001</v>
      </c>
      <c r="J19" s="161"/>
      <c r="K19" s="159">
        <f>K12-K17</f>
        <v>164009.24000000002</v>
      </c>
      <c r="L19" s="160"/>
      <c r="M19" s="159">
        <f>M12-M17</f>
        <v>140891.79</v>
      </c>
      <c r="N19" s="160"/>
      <c r="O19" s="159">
        <f>O12-O17</f>
        <v>165128.18000000002</v>
      </c>
      <c r="P19" s="160"/>
      <c r="Q19" s="159">
        <f>Q12-Q17</f>
        <v>153375.74</v>
      </c>
      <c r="R19" s="161"/>
      <c r="S19" s="159">
        <f>S12-S17</f>
        <v>181647.59</v>
      </c>
      <c r="T19" s="160"/>
      <c r="U19" s="162">
        <f>U12-U17</f>
        <v>170223.23999999996</v>
      </c>
      <c r="V19" s="160"/>
      <c r="W19" s="159">
        <f>W12-W17</f>
        <v>169386.81000000003</v>
      </c>
      <c r="X19" s="160"/>
      <c r="Y19" s="159">
        <f>Y12-Y17</f>
        <v>257990.52000000002</v>
      </c>
      <c r="Z19" s="160"/>
      <c r="AA19" s="163">
        <f>SUM(AA12-AA17)</f>
        <v>2018828.1400000001</v>
      </c>
      <c r="AB19" s="60"/>
      <c r="AC19" s="60"/>
      <c r="AD19" s="60"/>
    </row>
    <row r="20" spans="1:30" x14ac:dyDescent="0.2">
      <c r="B20" s="225"/>
      <c r="C20" s="227"/>
      <c r="G20" s="227"/>
      <c r="H20" s="255"/>
      <c r="K20" s="227"/>
      <c r="N20" s="225"/>
      <c r="O20" s="248"/>
      <c r="R20" s="255"/>
      <c r="S20" s="226"/>
      <c r="V20" s="225"/>
      <c r="W20" s="226"/>
      <c r="Z20" s="272"/>
      <c r="AA20" s="273"/>
    </row>
    <row r="21" spans="1:30" x14ac:dyDescent="0.2">
      <c r="A21" s="165" t="s">
        <v>37</v>
      </c>
      <c r="B21" s="318">
        <f>B6+B7+B9</f>
        <v>8947</v>
      </c>
      <c r="C21" s="322">
        <v>2444914.88</v>
      </c>
      <c r="D21" s="92">
        <f>D6+D7+D9</f>
        <v>9659</v>
      </c>
      <c r="E21" s="57">
        <v>2458759.1800000002</v>
      </c>
      <c r="F21" s="92">
        <f>F6+F7+F9</f>
        <v>9364</v>
      </c>
      <c r="G21" s="322">
        <v>2544857.4500000002</v>
      </c>
      <c r="H21" s="318">
        <f>H6+H7+H9</f>
        <v>9856</v>
      </c>
      <c r="I21" s="57">
        <v>2659893.4</v>
      </c>
      <c r="J21" s="92">
        <f>J6+J7+J9</f>
        <v>9980</v>
      </c>
      <c r="K21" s="322">
        <v>2593397.9300000002</v>
      </c>
      <c r="L21" s="92">
        <f>L6+L7+L9</f>
        <v>9386</v>
      </c>
      <c r="M21" s="57">
        <v>2250702.5499999998</v>
      </c>
      <c r="N21" s="318">
        <f>N6+N7+N9</f>
        <v>10167</v>
      </c>
      <c r="O21" s="337">
        <v>2562427.73</v>
      </c>
      <c r="P21" s="92">
        <f>P6+P7+P9</f>
        <v>9965</v>
      </c>
      <c r="Q21" s="57">
        <v>2354875.9700000002</v>
      </c>
      <c r="R21" s="318">
        <f>R6+R7+R9</f>
        <v>11000</v>
      </c>
      <c r="S21" s="339">
        <v>2629124.2000000002</v>
      </c>
      <c r="T21" s="92">
        <f>T6+T7+T9</f>
        <v>10591</v>
      </c>
      <c r="U21" s="58">
        <v>2401478.94</v>
      </c>
      <c r="V21" s="318">
        <f>V6+V7+V9</f>
        <v>10498</v>
      </c>
      <c r="W21" s="339">
        <v>2219353.96</v>
      </c>
      <c r="X21" s="92">
        <f>X6+X7+X9</f>
        <v>10431</v>
      </c>
      <c r="Y21" s="58">
        <v>2866989.82</v>
      </c>
      <c r="Z21" s="354">
        <f>SUM(B21,D21,F21,H21,J21,L21,N21,P21,R21,T21,V21,X21)</f>
        <v>119844</v>
      </c>
      <c r="AA21" s="355">
        <f>SUM(C21,E21,G21,I21,K21,M21,O21,Q21,S21,U21,W21,Y21)</f>
        <v>29986776.010000002</v>
      </c>
    </row>
    <row r="22" spans="1:30" x14ac:dyDescent="0.2">
      <c r="A22" s="46" t="s">
        <v>41</v>
      </c>
      <c r="B22" s="225"/>
      <c r="C22" s="323">
        <f>C19/C21</f>
        <v>6.2638237941437067E-2</v>
      </c>
      <c r="E22" s="50">
        <f>E19/E21</f>
        <v>6.729840048833087E-2</v>
      </c>
      <c r="G22" s="323">
        <f>G19/G21</f>
        <v>5.6986154568304012E-2</v>
      </c>
      <c r="H22" s="255"/>
      <c r="I22" s="50">
        <f>I19/I21</f>
        <v>5.7347286925107606E-2</v>
      </c>
      <c r="K22" s="323">
        <f>K19/K21</f>
        <v>6.3241062276933338E-2</v>
      </c>
      <c r="M22" s="50">
        <f>M19/M21</f>
        <v>6.2599027134882843E-2</v>
      </c>
      <c r="N22" s="225"/>
      <c r="O22" s="323">
        <f>O19/O21</f>
        <v>6.4442082821200203E-2</v>
      </c>
      <c r="Q22" s="50">
        <f>Q19/Q21</f>
        <v>6.513113299975623E-2</v>
      </c>
      <c r="R22" s="255"/>
      <c r="S22" s="340">
        <f>S19/S21</f>
        <v>6.9090532124728071E-2</v>
      </c>
      <c r="U22" s="70">
        <f>U19/U21</f>
        <v>7.0882670326478048E-2</v>
      </c>
      <c r="V22" s="225"/>
      <c r="W22" s="340">
        <f>W19/W21</f>
        <v>7.6322575421903419E-2</v>
      </c>
      <c r="Y22" s="50">
        <f>Y19/Y21</f>
        <v>8.9986549027927853E-2</v>
      </c>
      <c r="Z22" s="272"/>
      <c r="AA22" s="356">
        <f>AA19/AA21</f>
        <v>6.7323947707041282E-2</v>
      </c>
    </row>
    <row r="24" spans="1:30" x14ac:dyDescent="0.2">
      <c r="A24" s="61"/>
    </row>
    <row r="25" spans="1:30" s="216" customFormat="1" x14ac:dyDescent="0.2">
      <c r="A25" s="437" t="s">
        <v>49</v>
      </c>
      <c r="B25" s="215"/>
      <c r="D25" s="215"/>
      <c r="F25" s="215"/>
      <c r="H25" s="217"/>
      <c r="J25" s="217"/>
      <c r="L25" s="215"/>
      <c r="N25" s="215"/>
      <c r="O25" s="438"/>
      <c r="P25" s="439"/>
      <c r="R25" s="217"/>
      <c r="S25" s="440"/>
      <c r="T25" s="215"/>
      <c r="U25" s="441"/>
      <c r="V25" s="215"/>
      <c r="W25" s="440"/>
      <c r="X25" s="215"/>
      <c r="Y25" s="440"/>
      <c r="Z25" s="215"/>
      <c r="AA25" s="440"/>
    </row>
    <row r="28" spans="1:30" x14ac:dyDescent="0.2">
      <c r="E28" s="51"/>
    </row>
    <row r="29" spans="1:30" x14ac:dyDescent="0.2">
      <c r="AA29" s="38"/>
    </row>
    <row r="31" spans="1:30" x14ac:dyDescent="0.2">
      <c r="U31" s="80"/>
    </row>
  </sheetData>
  <pageMargins left="0.17" right="0.16" top="1" bottom="1" header="0.5" footer="0.5"/>
  <pageSetup scale="52" orientation="landscape" cellComments="asDisplayed" r:id="rId1"/>
  <headerFooter alignWithMargins="0">
    <oddFooter xml:space="preserve">&amp;L&amp;F&amp;RPrepared by Kathy Adair
&amp;D
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/>
  </sheetViews>
  <sheetFormatPr defaultRowHeight="12.75" x14ac:dyDescent="0.2"/>
  <cols>
    <col min="1" max="1" width="33.7109375" customWidth="1"/>
    <col min="2" max="2" width="5.5703125" style="88" bestFit="1" customWidth="1"/>
    <col min="3" max="3" width="11.28515625" bestFit="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1.28515625" bestFit="1" customWidth="1"/>
    <col min="8" max="8" width="5.5703125" style="96" bestFit="1" customWidth="1"/>
    <col min="9" max="9" width="11.28515625" customWidth="1"/>
    <col min="10" max="10" width="5.5703125" style="96" customWidth="1"/>
    <col min="11" max="11" width="11.28515625" customWidth="1"/>
    <col min="12" max="12" width="5.5703125" style="88" customWidth="1"/>
    <col min="13" max="13" width="11.28515625" customWidth="1"/>
    <col min="14" max="14" width="5.5703125" style="88" bestFit="1" customWidth="1"/>
    <col min="15" max="15" width="11.28515625" style="26" bestFit="1" customWidth="1"/>
    <col min="16" max="16" width="5.5703125" style="90" customWidth="1"/>
    <col min="17" max="17" width="11.28515625" customWidth="1"/>
    <col min="18" max="18" width="6.5703125" style="96" bestFit="1" customWidth="1"/>
    <col min="19" max="19" width="11.28515625" style="6" customWidth="1"/>
    <col min="20" max="20" width="5.5703125" style="88" bestFit="1" customWidth="1"/>
    <col min="21" max="21" width="11.28515625" style="71" bestFit="1" customWidth="1"/>
    <col min="22" max="22" width="5.5703125" style="88" bestFit="1" customWidth="1"/>
    <col min="23" max="23" width="11.28515625" style="6" bestFit="1" customWidth="1"/>
    <col min="24" max="24" width="6.5703125" style="88" bestFit="1" customWidth="1"/>
    <col min="25" max="25" width="11.28515625" style="6" bestFit="1" customWidth="1"/>
    <col min="26" max="26" width="7.5703125" style="88" bestFit="1" customWidth="1"/>
    <col min="27" max="27" width="12.28515625" style="6" bestFit="1" customWidth="1"/>
  </cols>
  <sheetData>
    <row r="1" spans="1:29" ht="18" x14ac:dyDescent="0.25">
      <c r="A1" s="152" t="s">
        <v>54</v>
      </c>
    </row>
    <row r="2" spans="1:29" x14ac:dyDescent="0.2">
      <c r="Z2" s="272" t="s">
        <v>29</v>
      </c>
      <c r="AA2" s="273" t="s">
        <v>29</v>
      </c>
    </row>
    <row r="3" spans="1:29" x14ac:dyDescent="0.2">
      <c r="B3" s="225" t="s">
        <v>38</v>
      </c>
      <c r="C3" s="226" t="s">
        <v>21</v>
      </c>
      <c r="D3" s="88" t="s">
        <v>38</v>
      </c>
      <c r="E3" s="6" t="s">
        <v>22</v>
      </c>
      <c r="F3" s="225" t="s">
        <v>38</v>
      </c>
      <c r="G3" s="226" t="s">
        <v>23</v>
      </c>
      <c r="H3" s="88" t="s">
        <v>38</v>
      </c>
      <c r="I3" s="6" t="s">
        <v>24</v>
      </c>
      <c r="J3" s="225" t="s">
        <v>38</v>
      </c>
      <c r="K3" s="226" t="s">
        <v>25</v>
      </c>
      <c r="L3" s="88" t="s">
        <v>38</v>
      </c>
      <c r="M3" s="6" t="s">
        <v>20</v>
      </c>
      <c r="N3" s="225" t="s">
        <v>38</v>
      </c>
      <c r="O3" s="331" t="s">
        <v>4</v>
      </c>
      <c r="P3" s="88" t="s">
        <v>38</v>
      </c>
      <c r="Q3" t="s">
        <v>5</v>
      </c>
      <c r="R3" s="225" t="s">
        <v>38</v>
      </c>
      <c r="S3" s="226" t="s">
        <v>6</v>
      </c>
      <c r="T3" s="88" t="s">
        <v>38</v>
      </c>
      <c r="U3" s="72" t="s">
        <v>7</v>
      </c>
      <c r="V3" s="225" t="s">
        <v>38</v>
      </c>
      <c r="W3" s="226" t="s">
        <v>8</v>
      </c>
      <c r="X3" s="88" t="s">
        <v>38</v>
      </c>
      <c r="Y3" s="6" t="s">
        <v>9</v>
      </c>
      <c r="Z3" s="272" t="s">
        <v>38</v>
      </c>
      <c r="AA3" s="274" t="s">
        <v>52</v>
      </c>
    </row>
    <row r="4" spans="1:29" x14ac:dyDescent="0.2">
      <c r="B4" s="225"/>
      <c r="C4" s="226"/>
      <c r="E4" s="6"/>
      <c r="F4" s="225"/>
      <c r="G4" s="226"/>
      <c r="I4" s="6"/>
      <c r="J4" s="255"/>
      <c r="K4" s="226"/>
      <c r="M4" s="6"/>
      <c r="N4" s="225"/>
      <c r="O4" s="331"/>
      <c r="P4" s="105"/>
      <c r="R4" s="255"/>
      <c r="S4" s="226"/>
      <c r="U4" s="72"/>
      <c r="V4" s="336"/>
      <c r="W4" s="226"/>
      <c r="Z4" s="272"/>
      <c r="AA4" s="273"/>
    </row>
    <row r="5" spans="1:29" s="29" customFormat="1" x14ac:dyDescent="0.2">
      <c r="A5" s="21" t="s">
        <v>112</v>
      </c>
      <c r="B5" s="313"/>
      <c r="C5" s="314"/>
      <c r="D5" s="89"/>
      <c r="E5" s="28"/>
      <c r="F5" s="247"/>
      <c r="G5" s="314"/>
      <c r="H5" s="97"/>
      <c r="I5" s="28"/>
      <c r="J5" s="324"/>
      <c r="K5" s="314"/>
      <c r="L5" s="89"/>
      <c r="M5" s="28"/>
      <c r="N5" s="327"/>
      <c r="O5" s="332"/>
      <c r="P5" s="104"/>
      <c r="R5" s="327"/>
      <c r="S5" s="314"/>
      <c r="T5" s="89"/>
      <c r="U5" s="73"/>
      <c r="V5" s="313"/>
      <c r="W5" s="332"/>
      <c r="X5" s="89"/>
      <c r="Y5" s="28"/>
      <c r="Z5" s="344"/>
      <c r="AA5" s="345"/>
    </row>
    <row r="6" spans="1:29" s="29" customFormat="1" x14ac:dyDescent="0.2">
      <c r="A6" s="27" t="s">
        <v>113</v>
      </c>
      <c r="B6" s="313">
        <v>1898</v>
      </c>
      <c r="C6" s="314">
        <v>51412.89</v>
      </c>
      <c r="D6" s="89">
        <v>2018</v>
      </c>
      <c r="E6" s="28">
        <v>55347.22</v>
      </c>
      <c r="F6" s="247">
        <v>2082</v>
      </c>
      <c r="G6" s="314">
        <v>54770.54</v>
      </c>
      <c r="H6" s="97">
        <v>2190</v>
      </c>
      <c r="I6" s="28">
        <v>58822.87</v>
      </c>
      <c r="J6" s="324">
        <v>1737</v>
      </c>
      <c r="K6" s="314">
        <v>45691.77</v>
      </c>
      <c r="L6" s="89">
        <v>1758</v>
      </c>
      <c r="M6" s="28">
        <v>45121.22</v>
      </c>
      <c r="N6" s="327">
        <v>2025</v>
      </c>
      <c r="O6" s="262">
        <v>63785.27</v>
      </c>
      <c r="P6" s="104">
        <v>1947</v>
      </c>
      <c r="Q6" s="29">
        <v>59186.77</v>
      </c>
      <c r="R6" s="313">
        <v>2272</v>
      </c>
      <c r="S6" s="314">
        <v>74945.23</v>
      </c>
      <c r="T6" s="89">
        <v>2104</v>
      </c>
      <c r="U6" s="73">
        <v>65285.03</v>
      </c>
      <c r="V6" s="313">
        <v>2118</v>
      </c>
      <c r="W6" s="332">
        <v>68067.539999999994</v>
      </c>
      <c r="X6" s="89">
        <v>2313</v>
      </c>
      <c r="Y6" s="28">
        <v>74388.45</v>
      </c>
      <c r="Z6" s="344">
        <f>SUM(B6,D6,F6,H6,J6,L6,N6,P6,R6,T6,V6,X6)</f>
        <v>24462</v>
      </c>
      <c r="AA6" s="346">
        <f>SUM(C6,E6,G6,I6,K6,M6,O6,Q6,S6,U6,W6,Y6)</f>
        <v>716824.8</v>
      </c>
    </row>
    <row r="7" spans="1:29" x14ac:dyDescent="0.2">
      <c r="A7" t="s">
        <v>114</v>
      </c>
      <c r="B7" s="225">
        <v>5090</v>
      </c>
      <c r="C7" s="262">
        <v>160510.53</v>
      </c>
      <c r="D7" s="90">
        <v>5437</v>
      </c>
      <c r="E7" s="30">
        <v>177326.22</v>
      </c>
      <c r="F7" s="247">
        <v>5327</v>
      </c>
      <c r="G7" s="262">
        <v>166444.26</v>
      </c>
      <c r="H7" s="98">
        <v>5591</v>
      </c>
      <c r="I7" s="30">
        <v>173331.72</v>
      </c>
      <c r="J7" s="328">
        <v>4967</v>
      </c>
      <c r="K7" s="262">
        <v>162492.32</v>
      </c>
      <c r="L7" s="90">
        <v>4702</v>
      </c>
      <c r="M7" s="30">
        <v>148354.92000000001</v>
      </c>
      <c r="N7" s="247">
        <v>5151</v>
      </c>
      <c r="O7" s="331">
        <v>133319.26999999999</v>
      </c>
      <c r="P7" s="105">
        <v>5522</v>
      </c>
      <c r="Q7" s="26">
        <v>123519.7</v>
      </c>
      <c r="R7" s="247">
        <v>6081</v>
      </c>
      <c r="S7" s="262">
        <v>145714.29</v>
      </c>
      <c r="T7" s="90">
        <v>5600</v>
      </c>
      <c r="U7" s="154">
        <v>147671.54</v>
      </c>
      <c r="V7" s="336">
        <v>5918</v>
      </c>
      <c r="W7" s="331">
        <v>148526.5</v>
      </c>
      <c r="X7" s="90">
        <v>5838</v>
      </c>
      <c r="Y7" s="30">
        <v>143989.9</v>
      </c>
      <c r="Z7" s="351">
        <f>SUM(B7,D7,F7,H7,J7,L7,N7,P7,R7,T7,V7,X7)</f>
        <v>65224</v>
      </c>
      <c r="AA7" s="345">
        <f>SUM(C7,E7,G7,I7,K7,M7,O7,Q7,S7,U7,W7,Y7)</f>
        <v>1831201.17</v>
      </c>
    </row>
    <row r="8" spans="1:29" x14ac:dyDescent="0.2">
      <c r="A8" t="s">
        <v>32</v>
      </c>
      <c r="B8" s="318">
        <v>1271</v>
      </c>
      <c r="C8" s="316">
        <v>31648.2</v>
      </c>
      <c r="D8" s="91">
        <v>1315</v>
      </c>
      <c r="E8" s="31">
        <v>39919.89</v>
      </c>
      <c r="F8" s="335">
        <v>1369</v>
      </c>
      <c r="G8" s="316">
        <v>41772.879999999997</v>
      </c>
      <c r="H8" s="99">
        <v>1375</v>
      </c>
      <c r="I8" s="31">
        <v>42932.41</v>
      </c>
      <c r="J8" s="326">
        <v>1174</v>
      </c>
      <c r="K8" s="316">
        <v>33529.040000000001</v>
      </c>
      <c r="L8" s="91">
        <v>1003</v>
      </c>
      <c r="M8" s="31">
        <v>35752.879999999997</v>
      </c>
      <c r="N8" s="335">
        <v>1096</v>
      </c>
      <c r="O8" s="334">
        <v>34516.300000000003</v>
      </c>
      <c r="P8" s="91">
        <v>964</v>
      </c>
      <c r="Q8" s="33">
        <v>41467.64</v>
      </c>
      <c r="R8" s="335">
        <f>341+1+250+446+3+240</f>
        <v>1281</v>
      </c>
      <c r="S8" s="338">
        <f>8234+42406.93</f>
        <v>50640.93</v>
      </c>
      <c r="T8" s="91">
        <f>257+227+349+2+213</f>
        <v>1048</v>
      </c>
      <c r="U8" s="155">
        <f>9339.5+37701.42</f>
        <v>47040.92</v>
      </c>
      <c r="V8" s="342">
        <f>278+8+202+334+5+172</f>
        <v>999</v>
      </c>
      <c r="W8" s="316">
        <f>8813+27818.02</f>
        <v>36631.020000000004</v>
      </c>
      <c r="X8" s="91">
        <f>329+2+241+330+1+157</f>
        <v>1060</v>
      </c>
      <c r="Y8" s="32">
        <f>12005.5+30353.17</f>
        <v>42358.67</v>
      </c>
      <c r="Z8" s="350">
        <f>SUM(B8,D8,F8,H8,J8,L8,N8,Q8,R8,T8,V8,X8)</f>
        <v>54458.64</v>
      </c>
      <c r="AA8" s="347">
        <f>SUM(C8,E8,G8,I8,K8,M8,O8,Q8,S8,U8,W8,Y8)</f>
        <v>478210.78</v>
      </c>
      <c r="AC8" s="164"/>
    </row>
    <row r="9" spans="1:29" x14ac:dyDescent="0.2">
      <c r="A9" t="s">
        <v>119</v>
      </c>
      <c r="B9" s="225"/>
      <c r="C9" s="319">
        <f>SUM(C6:C8)</f>
        <v>243571.62</v>
      </c>
      <c r="D9" s="89"/>
      <c r="E9" s="29">
        <f>SUM(E6:E8)</f>
        <v>272593.33</v>
      </c>
      <c r="F9" s="327"/>
      <c r="G9" s="319">
        <f>SUM(G6:G8)</f>
        <v>262987.68</v>
      </c>
      <c r="H9" s="97"/>
      <c r="I9" s="29">
        <f>SUM(I6:I8)</f>
        <v>275087</v>
      </c>
      <c r="J9" s="324"/>
      <c r="K9" s="319">
        <f>SUM(K6:K8)</f>
        <v>241713.13</v>
      </c>
      <c r="L9" s="89"/>
      <c r="M9" s="29">
        <f>SUM(M6:M8)</f>
        <v>229229.02000000002</v>
      </c>
      <c r="N9" s="327"/>
      <c r="O9" s="319">
        <f>SUM(O6:O8)</f>
        <v>231620.83999999997</v>
      </c>
      <c r="P9" s="89"/>
      <c r="Q9" s="29">
        <f>SUM(Q6:Q8)</f>
        <v>224174.11</v>
      </c>
      <c r="R9" s="357"/>
      <c r="S9" s="319">
        <f>SUM(S6:S8)</f>
        <v>271300.45</v>
      </c>
      <c r="T9" s="89"/>
      <c r="U9" s="29">
        <f>SUM(U6:U8)</f>
        <v>259997.49</v>
      </c>
      <c r="V9" s="327"/>
      <c r="W9" s="319">
        <f>SUM(W6:W8)</f>
        <v>253225.06</v>
      </c>
      <c r="X9" s="89"/>
      <c r="Y9" s="29">
        <f>SUM(Y6:Y8)</f>
        <v>260737.01999999996</v>
      </c>
      <c r="Z9" s="344"/>
      <c r="AA9" s="349">
        <f>SUM(C9,E9,G9,I9,K9,M9,O9,Q9,S9,U9,W9,Y9)</f>
        <v>3026236.75</v>
      </c>
    </row>
    <row r="10" spans="1:29" x14ac:dyDescent="0.2">
      <c r="A10" t="s">
        <v>120</v>
      </c>
      <c r="B10" s="318"/>
      <c r="C10" s="320">
        <v>33333.339999999997</v>
      </c>
      <c r="D10" s="91"/>
      <c r="E10" s="33">
        <v>33333.33</v>
      </c>
      <c r="F10" s="335"/>
      <c r="G10" s="320">
        <v>33333.33</v>
      </c>
      <c r="H10" s="99"/>
      <c r="I10" s="33">
        <v>33333.339999999997</v>
      </c>
      <c r="J10" s="326"/>
      <c r="K10" s="320">
        <v>33333.33</v>
      </c>
      <c r="L10" s="91"/>
      <c r="M10" s="33">
        <v>33333.33</v>
      </c>
      <c r="N10" s="335"/>
      <c r="O10" s="320">
        <v>33333.339999999997</v>
      </c>
      <c r="P10" s="91"/>
      <c r="Q10" s="33">
        <v>33333.33</v>
      </c>
      <c r="R10" s="326"/>
      <c r="S10" s="320">
        <v>33333.33</v>
      </c>
      <c r="T10" s="91"/>
      <c r="U10" s="33">
        <v>33333.339999999997</v>
      </c>
      <c r="V10" s="335"/>
      <c r="W10" s="316">
        <v>33333.33</v>
      </c>
      <c r="X10" s="91"/>
      <c r="Y10" s="31">
        <v>33333.33</v>
      </c>
      <c r="Z10" s="350"/>
      <c r="AA10" s="347">
        <f>SUM(C10,E10,G10,I10,K10,M10,O10,Q10,S10,U10,W10,Y10)</f>
        <v>400000</v>
      </c>
    </row>
    <row r="11" spans="1:29" x14ac:dyDescent="0.2">
      <c r="A11" t="s">
        <v>118</v>
      </c>
      <c r="B11" s="225"/>
      <c r="C11" s="248">
        <f>SUM(C9:C10)</f>
        <v>276904.95999999996</v>
      </c>
      <c r="D11" s="90"/>
      <c r="E11" s="26">
        <f>SUM(E9:E10)</f>
        <v>305926.66000000003</v>
      </c>
      <c r="F11" s="247"/>
      <c r="G11" s="248">
        <f>SUM(G9:G10)</f>
        <v>296321.01</v>
      </c>
      <c r="H11" s="98"/>
      <c r="I11" s="26">
        <f>SUM(I9:I10)</f>
        <v>308420.33999999997</v>
      </c>
      <c r="J11" s="328"/>
      <c r="K11" s="248">
        <f>SUM(K9:K10)</f>
        <v>275046.46000000002</v>
      </c>
      <c r="L11" s="90"/>
      <c r="M11" s="26">
        <f>SUM(M9:M10)</f>
        <v>262562.35000000003</v>
      </c>
      <c r="N11" s="247"/>
      <c r="O11" s="248">
        <f>SUM(O9:O10)</f>
        <v>264954.17999999993</v>
      </c>
      <c r="Q11" s="26">
        <f>SUM(Q9:Q10)</f>
        <v>257507.44</v>
      </c>
      <c r="R11" s="328"/>
      <c r="S11" s="248">
        <f>SUM(S9:S10)</f>
        <v>304633.78000000003</v>
      </c>
      <c r="T11" s="90"/>
      <c r="U11" s="26">
        <f>SUM(U9:U10)</f>
        <v>293330.82999999996</v>
      </c>
      <c r="V11" s="247"/>
      <c r="W11" s="262">
        <f>SUM(W9:W10)</f>
        <v>286558.39</v>
      </c>
      <c r="X11" s="90"/>
      <c r="Y11" s="30">
        <f>SUM(Y9:Y10)</f>
        <v>294070.34999999998</v>
      </c>
      <c r="Z11" s="351"/>
      <c r="AA11" s="345">
        <f>SUM(C11,E11,G11,I11,K11,M11,O11,Q11,S11,U11,W11,Y11)</f>
        <v>3426236.75</v>
      </c>
    </row>
    <row r="12" spans="1:29" x14ac:dyDescent="0.2">
      <c r="B12" s="225"/>
      <c r="C12" s="248"/>
      <c r="D12" s="90"/>
      <c r="E12" s="26"/>
      <c r="F12" s="247"/>
      <c r="G12" s="248"/>
      <c r="H12" s="98"/>
      <c r="J12" s="255"/>
      <c r="K12" s="227"/>
      <c r="N12" s="225"/>
      <c r="O12" s="248"/>
      <c r="R12" s="255"/>
      <c r="S12" s="226"/>
      <c r="U12" s="77"/>
      <c r="V12" s="247"/>
      <c r="W12" s="262"/>
      <c r="X12" s="90"/>
      <c r="Z12" s="272"/>
      <c r="AA12" s="273"/>
    </row>
    <row r="13" spans="1:29" x14ac:dyDescent="0.2">
      <c r="A13" t="s">
        <v>116</v>
      </c>
      <c r="B13" s="225"/>
      <c r="C13" s="227"/>
      <c r="D13" s="90"/>
      <c r="E13" s="26"/>
      <c r="F13" s="247"/>
      <c r="G13" s="248"/>
      <c r="H13" s="98"/>
      <c r="J13" s="255"/>
      <c r="K13" s="227"/>
      <c r="N13" s="225"/>
      <c r="O13" s="248"/>
      <c r="R13" s="255"/>
      <c r="S13" s="226"/>
      <c r="U13" s="77"/>
      <c r="V13" s="247"/>
      <c r="W13" s="262"/>
      <c r="X13" s="90"/>
      <c r="Z13" s="272"/>
      <c r="AA13" s="273"/>
    </row>
    <row r="14" spans="1:29" x14ac:dyDescent="0.2">
      <c r="A14" s="4" t="s">
        <v>56</v>
      </c>
      <c r="B14" s="225"/>
      <c r="C14" s="248">
        <v>137215</v>
      </c>
      <c r="D14" s="90"/>
      <c r="E14" s="34">
        <v>144255</v>
      </c>
      <c r="F14" s="247"/>
      <c r="G14" s="329">
        <v>145663</v>
      </c>
      <c r="H14" s="98"/>
      <c r="I14" s="34">
        <v>146238.04999999999</v>
      </c>
      <c r="J14" s="328"/>
      <c r="K14" s="329">
        <v>123516.6</v>
      </c>
      <c r="L14" s="90"/>
      <c r="M14" s="66">
        <v>96658.94</v>
      </c>
      <c r="N14" s="225"/>
      <c r="O14" s="248">
        <v>129090.33</v>
      </c>
      <c r="Q14" s="26">
        <v>129660.73</v>
      </c>
      <c r="R14" s="328"/>
      <c r="S14" s="262">
        <v>146909.57</v>
      </c>
      <c r="T14" s="90"/>
      <c r="U14" s="26">
        <v>137933.67000000001</v>
      </c>
      <c r="V14" s="247"/>
      <c r="W14" s="262">
        <v>125149.27</v>
      </c>
      <c r="X14" s="90"/>
      <c r="Y14" s="156">
        <v>66462.740000000005</v>
      </c>
      <c r="Z14" s="272"/>
      <c r="AA14" s="352">
        <f>SUM(C14:Y14)</f>
        <v>1528752.9000000001</v>
      </c>
    </row>
    <row r="15" spans="1:29" x14ac:dyDescent="0.2">
      <c r="A15" s="4" t="s">
        <v>34</v>
      </c>
      <c r="B15" s="318"/>
      <c r="C15" s="321">
        <v>23031</v>
      </c>
      <c r="D15" s="91"/>
      <c r="E15" s="35">
        <v>25179</v>
      </c>
      <c r="F15" s="335"/>
      <c r="G15" s="321">
        <v>25479</v>
      </c>
      <c r="H15" s="99"/>
      <c r="I15" s="35">
        <v>25581</v>
      </c>
      <c r="J15" s="326"/>
      <c r="K15" s="321">
        <v>24273</v>
      </c>
      <c r="L15" s="91"/>
      <c r="M15" s="67">
        <v>22841.17</v>
      </c>
      <c r="N15" s="318"/>
      <c r="O15" s="320">
        <v>31038.58</v>
      </c>
      <c r="P15" s="91"/>
      <c r="Q15" s="33">
        <v>30909.48</v>
      </c>
      <c r="R15" s="326"/>
      <c r="S15" s="316">
        <v>34741.800000000003</v>
      </c>
      <c r="T15" s="91"/>
      <c r="U15" s="33">
        <v>32965.56</v>
      </c>
      <c r="V15" s="335"/>
      <c r="W15" s="316">
        <v>26982.62</v>
      </c>
      <c r="X15" s="91"/>
      <c r="Y15" s="35">
        <v>4217.54</v>
      </c>
      <c r="Z15" s="350"/>
      <c r="AA15" s="347">
        <f>SUM(C15:Y15)</f>
        <v>307239.75</v>
      </c>
    </row>
    <row r="16" spans="1:29" x14ac:dyDescent="0.2">
      <c r="A16" t="s">
        <v>62</v>
      </c>
      <c r="B16" s="225">
        <v>7685</v>
      </c>
      <c r="C16" s="248">
        <f>SUM(C14:C15)</f>
        <v>160246</v>
      </c>
      <c r="D16" s="105">
        <v>8411</v>
      </c>
      <c r="E16" s="26">
        <f>SUM(E14:E15)</f>
        <v>169434</v>
      </c>
      <c r="F16" s="336">
        <v>8525</v>
      </c>
      <c r="G16" s="248">
        <f>SUM(G14:G15)</f>
        <v>171142</v>
      </c>
      <c r="H16" s="157">
        <v>8553</v>
      </c>
      <c r="I16" s="26">
        <f>SUM(I14:I15)</f>
        <v>171819.05</v>
      </c>
      <c r="J16" s="330">
        <v>8141</v>
      </c>
      <c r="K16" s="248">
        <f>SUM(K14:K15)</f>
        <v>147789.6</v>
      </c>
      <c r="L16" s="105">
        <v>7609</v>
      </c>
      <c r="M16" s="26">
        <f>SUM(M14:M15)</f>
        <v>119500.11</v>
      </c>
      <c r="N16" s="336">
        <v>9245</v>
      </c>
      <c r="O16" s="248">
        <f>SUM(O14:O15)</f>
        <v>160128.91</v>
      </c>
      <c r="P16" s="105">
        <v>9043</v>
      </c>
      <c r="Q16" s="26">
        <f>SUM(Q14:Q15)</f>
        <v>160570.21</v>
      </c>
      <c r="R16" s="336">
        <v>10203</v>
      </c>
      <c r="S16" s="248">
        <f>SUM(S14:S15)</f>
        <v>181651.37</v>
      </c>
      <c r="T16" s="105">
        <v>9588</v>
      </c>
      <c r="U16" s="80">
        <f>U14+U15</f>
        <v>170899.23</v>
      </c>
      <c r="V16" s="336">
        <v>7775</v>
      </c>
      <c r="W16" s="343">
        <f>W14+W15</f>
        <v>152131.89000000001</v>
      </c>
      <c r="X16" s="105">
        <v>14908</v>
      </c>
      <c r="Y16" s="34">
        <f>SUM(Y14:Y15)</f>
        <v>70680.28</v>
      </c>
      <c r="Z16" s="353">
        <f>SUM(B16,D16,F16,H16,J16,L16,N16,P16,R16,T16,V16,X16)</f>
        <v>109686</v>
      </c>
      <c r="AA16" s="345">
        <f>SUM(C16,E16,G16,I16,K16,M16,O16,Q16,S16,U16,W16,Y16)</f>
        <v>1835992.6500000001</v>
      </c>
    </row>
    <row r="17" spans="1:30" x14ac:dyDescent="0.2">
      <c r="B17" s="225"/>
      <c r="C17" s="248"/>
      <c r="D17" s="90"/>
      <c r="E17" s="26"/>
      <c r="F17" s="247"/>
      <c r="G17" s="248"/>
      <c r="H17" s="98"/>
      <c r="I17" s="26"/>
      <c r="J17" s="328"/>
      <c r="K17" s="248"/>
      <c r="L17" s="90"/>
      <c r="M17" s="26"/>
      <c r="N17" s="247"/>
      <c r="O17" s="248"/>
      <c r="R17" s="255"/>
      <c r="S17" s="226"/>
      <c r="U17" s="77"/>
      <c r="V17" s="247"/>
      <c r="W17" s="262"/>
      <c r="X17" s="90"/>
      <c r="Z17" s="272"/>
      <c r="AA17" s="273"/>
    </row>
    <row r="18" spans="1:30" s="8" customFormat="1" ht="13.5" thickBot="1" x14ac:dyDescent="0.25">
      <c r="A18" s="361" t="s">
        <v>117</v>
      </c>
      <c r="B18" s="158"/>
      <c r="C18" s="159">
        <f>C11-C16</f>
        <v>116658.95999999996</v>
      </c>
      <c r="D18" s="160"/>
      <c r="E18" s="159">
        <f>E11-E16</f>
        <v>136492.66000000003</v>
      </c>
      <c r="F18" s="160"/>
      <c r="G18" s="159">
        <f>G11-G16</f>
        <v>125179.01000000001</v>
      </c>
      <c r="H18" s="161"/>
      <c r="I18" s="159">
        <f>I11-I16</f>
        <v>136601.28999999998</v>
      </c>
      <c r="J18" s="161"/>
      <c r="K18" s="159">
        <f>K11-K16</f>
        <v>127256.86000000002</v>
      </c>
      <c r="L18" s="160"/>
      <c r="M18" s="159">
        <f>M11-M16</f>
        <v>143062.24000000005</v>
      </c>
      <c r="N18" s="160"/>
      <c r="O18" s="159">
        <f>O11-O16</f>
        <v>104825.26999999993</v>
      </c>
      <c r="P18" s="160"/>
      <c r="Q18" s="159">
        <f>Q11-Q16</f>
        <v>96937.23000000001</v>
      </c>
      <c r="R18" s="161"/>
      <c r="S18" s="159">
        <f>S11-S16</f>
        <v>122982.41000000003</v>
      </c>
      <c r="T18" s="160"/>
      <c r="U18" s="162">
        <f>U11-U16</f>
        <v>122431.59999999995</v>
      </c>
      <c r="V18" s="160"/>
      <c r="W18" s="159">
        <f>W11-W16</f>
        <v>134426.5</v>
      </c>
      <c r="X18" s="160"/>
      <c r="Y18" s="159">
        <f>Y11-Y16</f>
        <v>223390.06999999998</v>
      </c>
      <c r="Z18" s="160"/>
      <c r="AA18" s="163">
        <f>SUM(AA11-AA16)</f>
        <v>1590244.0999999999</v>
      </c>
      <c r="AB18" s="60"/>
      <c r="AC18" s="60"/>
      <c r="AD18" s="60"/>
    </row>
    <row r="19" spans="1:30" x14ac:dyDescent="0.2">
      <c r="B19" s="225"/>
      <c r="C19" s="227"/>
      <c r="F19" s="225"/>
      <c r="G19" s="227"/>
      <c r="J19" s="255"/>
      <c r="K19" s="227"/>
      <c r="N19" s="225"/>
      <c r="O19" s="248"/>
      <c r="R19" s="255"/>
      <c r="S19" s="226"/>
      <c r="V19" s="225"/>
      <c r="W19" s="226"/>
      <c r="Z19" s="272"/>
      <c r="AA19" s="273"/>
    </row>
    <row r="20" spans="1:30" x14ac:dyDescent="0.2">
      <c r="A20" t="s">
        <v>37</v>
      </c>
      <c r="B20" s="318">
        <f>B6+B7+B8</f>
        <v>8259</v>
      </c>
      <c r="C20" s="322">
        <v>2273353</v>
      </c>
      <c r="D20" s="92">
        <f>D6+D7+D8</f>
        <v>8770</v>
      </c>
      <c r="E20" s="57">
        <v>2427965</v>
      </c>
      <c r="F20" s="318">
        <f>F6+F7+F8</f>
        <v>8778</v>
      </c>
      <c r="G20" s="322">
        <v>2314796</v>
      </c>
      <c r="H20" s="92">
        <f>H6+H7+H8</f>
        <v>9156</v>
      </c>
      <c r="I20" s="57">
        <v>2468851.88</v>
      </c>
      <c r="J20" s="318">
        <f>J6+J7+J8</f>
        <v>7878</v>
      </c>
      <c r="K20" s="322">
        <v>1806288.78</v>
      </c>
      <c r="L20" s="92">
        <f>L6+L7+L8</f>
        <v>7463</v>
      </c>
      <c r="M20" s="57">
        <v>1887044.45</v>
      </c>
      <c r="N20" s="318">
        <f>N6+N7+N8</f>
        <v>8272</v>
      </c>
      <c r="O20" s="337">
        <v>2292075.98</v>
      </c>
      <c r="P20" s="92">
        <f>P6+P7+P8</f>
        <v>8433</v>
      </c>
      <c r="Q20" s="57">
        <v>2417275.5299999998</v>
      </c>
      <c r="R20" s="318">
        <f>R6+R7+R8</f>
        <v>9634</v>
      </c>
      <c r="S20" s="339">
        <v>2478187.7200000002</v>
      </c>
      <c r="T20" s="92">
        <f>T6+T7+T8</f>
        <v>8752</v>
      </c>
      <c r="U20" s="58">
        <v>2424367.46</v>
      </c>
      <c r="V20" s="318">
        <f>V6+V7+V8</f>
        <v>9035</v>
      </c>
      <c r="W20" s="339">
        <v>2219884.88</v>
      </c>
      <c r="X20" s="92">
        <f>X6+X7+X8</f>
        <v>9211</v>
      </c>
      <c r="Y20" s="58">
        <v>2359793.13</v>
      </c>
      <c r="Z20" s="354">
        <f>SUM(B20,D20,F20,H20,J20,L20,N20,P20,R20,T20,V20,X20)</f>
        <v>103641</v>
      </c>
      <c r="AA20" s="355">
        <f>SUM(C20,E20,G20,I20,K20,M20,O20,Q20,S20,U20,W20,Y20)</f>
        <v>27369883.809999995</v>
      </c>
    </row>
    <row r="21" spans="1:30" x14ac:dyDescent="0.2">
      <c r="A21" s="46" t="s">
        <v>41</v>
      </c>
      <c r="B21" s="225"/>
      <c r="C21" s="323">
        <f>C18/C20</f>
        <v>5.1315814130053698E-2</v>
      </c>
      <c r="E21" s="50">
        <f>E18/E20</f>
        <v>5.6216897690040853E-2</v>
      </c>
      <c r="F21" s="225"/>
      <c r="G21" s="323">
        <f>G18/G20</f>
        <v>5.4077771864129716E-2</v>
      </c>
      <c r="I21" s="50">
        <f>I18/I20</f>
        <v>5.5329884755986249E-2</v>
      </c>
      <c r="J21" s="255"/>
      <c r="K21" s="323">
        <f>K18/K20</f>
        <v>7.0452112313956802E-2</v>
      </c>
      <c r="M21" s="50">
        <f>M18/M20</f>
        <v>7.5812861747904275E-2</v>
      </c>
      <c r="N21" s="225"/>
      <c r="O21" s="323">
        <f>O18/O20</f>
        <v>4.5733767516729501E-2</v>
      </c>
      <c r="Q21" s="50">
        <f>Q18/Q20</f>
        <v>4.0101853842040097E-2</v>
      </c>
      <c r="R21" s="255"/>
      <c r="S21" s="340">
        <f>S18/S20</f>
        <v>4.9625946011870328E-2</v>
      </c>
      <c r="U21" s="70">
        <f>U18/U20</f>
        <v>5.0500430326679911E-2</v>
      </c>
      <c r="V21" s="225"/>
      <c r="W21" s="340">
        <f>W18/W20</f>
        <v>6.055561764085713E-2</v>
      </c>
      <c r="Y21" s="50">
        <f>Y18/Y20</f>
        <v>9.4665107360491385E-2</v>
      </c>
      <c r="Z21" s="272"/>
      <c r="AA21" s="356">
        <f>AA18/AA20</f>
        <v>5.8101967514344377E-2</v>
      </c>
    </row>
    <row r="23" spans="1:30" x14ac:dyDescent="0.2">
      <c r="A23" s="61"/>
    </row>
    <row r="24" spans="1:30" x14ac:dyDescent="0.2">
      <c r="A24" s="437" t="s">
        <v>49</v>
      </c>
      <c r="B24" s="215"/>
      <c r="C24" s="216"/>
      <c r="D24" s="215"/>
      <c r="E24" s="216"/>
      <c r="F24" s="215"/>
      <c r="G24" s="216"/>
      <c r="H24" s="217"/>
      <c r="I24" s="216"/>
    </row>
    <row r="27" spans="1:30" x14ac:dyDescent="0.2">
      <c r="E27" s="51"/>
    </row>
    <row r="28" spans="1:30" x14ac:dyDescent="0.2">
      <c r="AA28" s="38"/>
    </row>
    <row r="30" spans="1:30" x14ac:dyDescent="0.2">
      <c r="U30" s="80"/>
    </row>
  </sheetData>
  <pageMargins left="0.17" right="0.16" top="1" bottom="1" header="0.5" footer="0.5"/>
  <pageSetup paperSize="5" scale="69" orientation="landscape" cellComments="asDisplayed" r:id="rId1"/>
  <headerFooter alignWithMargins="0">
    <oddFooter xml:space="preserve">&amp;L&amp;F&amp;RPrepared by Kathy Adair
&amp;D
&amp;P 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workbookViewId="0"/>
  </sheetViews>
  <sheetFormatPr defaultRowHeight="12.75" x14ac:dyDescent="0.2"/>
  <cols>
    <col min="1" max="1" width="33.7109375" customWidth="1"/>
    <col min="2" max="2" width="5.5703125" style="88" bestFit="1" customWidth="1"/>
    <col min="3" max="3" width="11.28515625" bestFit="1" customWidth="1"/>
    <col min="4" max="4" width="5.5703125" style="88" bestFit="1" customWidth="1"/>
    <col min="5" max="5" width="11.28515625" bestFit="1" customWidth="1"/>
    <col min="6" max="6" width="5.5703125" style="88" bestFit="1" customWidth="1"/>
    <col min="7" max="7" width="11.85546875" customWidth="1"/>
    <col min="8" max="8" width="5.5703125" style="96" bestFit="1" customWidth="1"/>
    <col min="9" max="9" width="11.28515625" bestFit="1" customWidth="1"/>
    <col min="10" max="10" width="5.5703125" style="96" bestFit="1" customWidth="1"/>
    <col min="11" max="11" width="11.28515625" bestFit="1" customWidth="1"/>
    <col min="12" max="12" width="5.5703125" style="88" bestFit="1" customWidth="1"/>
    <col min="13" max="13" width="11.28515625" bestFit="1" customWidth="1"/>
    <col min="14" max="14" width="7" style="88" customWidth="1"/>
    <col min="15" max="15" width="11.42578125" style="26" customWidth="1"/>
    <col min="16" max="16" width="5.5703125" style="90" bestFit="1" customWidth="1"/>
    <col min="17" max="17" width="11.28515625" bestFit="1" customWidth="1"/>
    <col min="18" max="18" width="5.5703125" style="96" bestFit="1" customWidth="1"/>
    <col min="19" max="19" width="11.28515625" style="6" bestFit="1" customWidth="1"/>
    <col min="20" max="20" width="7" style="88" customWidth="1"/>
    <col min="21" max="21" width="11.5703125" style="71" customWidth="1"/>
    <col min="22" max="22" width="6.85546875" style="88" customWidth="1"/>
    <col min="23" max="23" width="13.5703125" style="6" customWidth="1"/>
    <col min="24" max="24" width="7.28515625" style="88" customWidth="1"/>
    <col min="25" max="25" width="11.5703125" style="6" customWidth="1"/>
    <col min="26" max="26" width="6.5703125" style="88" bestFit="1" customWidth="1"/>
    <col min="27" max="27" width="13.42578125" style="6" bestFit="1" customWidth="1"/>
  </cols>
  <sheetData>
    <row r="1" spans="1:27" ht="21.75" x14ac:dyDescent="0.3">
      <c r="A1" s="9" t="s">
        <v>13</v>
      </c>
      <c r="B1" s="93"/>
      <c r="C1" s="9"/>
      <c r="D1" s="93"/>
      <c r="E1" s="9"/>
      <c r="F1" s="93"/>
      <c r="G1" s="9"/>
      <c r="H1" s="95"/>
      <c r="I1" s="9"/>
      <c r="J1" s="95"/>
      <c r="K1" s="9"/>
      <c r="L1" s="93"/>
      <c r="M1" s="9"/>
      <c r="N1" s="93"/>
    </row>
    <row r="3" spans="1:27" ht="18" x14ac:dyDescent="0.25">
      <c r="A3" s="152" t="s">
        <v>53</v>
      </c>
    </row>
    <row r="4" spans="1:27" x14ac:dyDescent="0.2">
      <c r="Z4" s="272" t="s">
        <v>29</v>
      </c>
      <c r="AA4" s="273" t="s">
        <v>29</v>
      </c>
    </row>
    <row r="5" spans="1:27" x14ac:dyDescent="0.2">
      <c r="B5" s="225" t="s">
        <v>38</v>
      </c>
      <c r="C5" s="226" t="s">
        <v>21</v>
      </c>
      <c r="D5" s="88" t="s">
        <v>38</v>
      </c>
      <c r="E5" s="6" t="s">
        <v>22</v>
      </c>
      <c r="F5" s="225" t="s">
        <v>38</v>
      </c>
      <c r="G5" s="226" t="s">
        <v>23</v>
      </c>
      <c r="H5" s="88" t="s">
        <v>38</v>
      </c>
      <c r="I5" s="6" t="s">
        <v>24</v>
      </c>
      <c r="J5" s="225" t="s">
        <v>38</v>
      </c>
      <c r="K5" s="226" t="s">
        <v>25</v>
      </c>
      <c r="L5" s="88" t="s">
        <v>38</v>
      </c>
      <c r="M5" s="6" t="s">
        <v>20</v>
      </c>
      <c r="N5" s="225" t="s">
        <v>38</v>
      </c>
      <c r="O5" s="331" t="s">
        <v>4</v>
      </c>
      <c r="P5" s="88" t="s">
        <v>38</v>
      </c>
      <c r="Q5" t="s">
        <v>5</v>
      </c>
      <c r="R5" s="225" t="s">
        <v>38</v>
      </c>
      <c r="S5" s="226" t="s">
        <v>6</v>
      </c>
      <c r="T5" s="88" t="s">
        <v>38</v>
      </c>
      <c r="U5" s="72" t="s">
        <v>7</v>
      </c>
      <c r="V5" s="225" t="s">
        <v>38</v>
      </c>
      <c r="W5" s="226" t="s">
        <v>8</v>
      </c>
      <c r="X5" s="88" t="s">
        <v>38</v>
      </c>
      <c r="Y5" s="6" t="s">
        <v>9</v>
      </c>
      <c r="Z5" s="272" t="s">
        <v>38</v>
      </c>
      <c r="AA5" s="274" t="s">
        <v>52</v>
      </c>
    </row>
    <row r="6" spans="1:27" x14ac:dyDescent="0.2">
      <c r="A6" t="s">
        <v>112</v>
      </c>
      <c r="B6" s="225"/>
      <c r="C6" s="226"/>
      <c r="E6" s="6"/>
      <c r="F6" s="225"/>
      <c r="G6" s="226"/>
      <c r="I6" s="6"/>
      <c r="J6" s="255"/>
      <c r="K6" s="226"/>
      <c r="M6" s="6"/>
      <c r="N6" s="225"/>
      <c r="O6" s="331"/>
      <c r="P6" s="105"/>
      <c r="R6" s="255"/>
      <c r="S6" s="226"/>
      <c r="U6" s="72"/>
      <c r="V6" s="336"/>
      <c r="W6" s="226"/>
      <c r="Z6" s="272"/>
      <c r="AA6" s="273"/>
    </row>
    <row r="7" spans="1:27" s="29" customFormat="1" x14ac:dyDescent="0.2">
      <c r="A7" s="27" t="s">
        <v>122</v>
      </c>
      <c r="B7" s="313">
        <v>1599</v>
      </c>
      <c r="C7" s="314">
        <v>104619.66</v>
      </c>
      <c r="D7" s="89">
        <v>1493</v>
      </c>
      <c r="E7" s="28">
        <v>97180.43</v>
      </c>
      <c r="F7" s="247">
        <v>1554</v>
      </c>
      <c r="G7" s="314">
        <v>98563.86</v>
      </c>
      <c r="H7" s="97">
        <v>1701</v>
      </c>
      <c r="I7" s="28">
        <v>118442.91</v>
      </c>
      <c r="J7" s="324">
        <v>1261</v>
      </c>
      <c r="K7" s="314">
        <v>84251.39</v>
      </c>
      <c r="L7" s="89">
        <v>1415</v>
      </c>
      <c r="M7" s="28">
        <v>83995.87</v>
      </c>
      <c r="N7" s="327">
        <v>9</v>
      </c>
      <c r="O7" s="332">
        <v>786</v>
      </c>
      <c r="P7" s="104"/>
      <c r="R7" s="327"/>
      <c r="S7" s="314"/>
      <c r="T7" s="89"/>
      <c r="U7" s="73"/>
      <c r="V7" s="313"/>
      <c r="W7" s="332"/>
      <c r="X7" s="89"/>
      <c r="Y7" s="28"/>
      <c r="Z7" s="344">
        <f t="shared" ref="Z7:AA9" si="0">SUM(B7,D7,F7,H7,J7,L7,N7,P7,R7,T7,V7,X7)</f>
        <v>9032</v>
      </c>
      <c r="AA7" s="345">
        <f t="shared" si="0"/>
        <v>587840.12</v>
      </c>
    </row>
    <row r="8" spans="1:27" s="29" customFormat="1" x14ac:dyDescent="0.2">
      <c r="A8" s="27" t="s">
        <v>113</v>
      </c>
      <c r="B8" s="313"/>
      <c r="C8" s="314"/>
      <c r="D8" s="89"/>
      <c r="E8" s="28"/>
      <c r="F8" s="247"/>
      <c r="G8" s="314"/>
      <c r="H8" s="97"/>
      <c r="I8" s="28"/>
      <c r="J8" s="324"/>
      <c r="K8" s="314"/>
      <c r="L8" s="89"/>
      <c r="M8" s="28"/>
      <c r="N8" s="327">
        <v>1833</v>
      </c>
      <c r="O8" s="262">
        <f>44244.88+644</f>
        <v>44888.88</v>
      </c>
      <c r="P8" s="104">
        <v>1558</v>
      </c>
      <c r="Q8" s="29">
        <v>37468.93</v>
      </c>
      <c r="R8" s="327">
        <v>1930</v>
      </c>
      <c r="S8" s="314">
        <v>45236.43</v>
      </c>
      <c r="T8" s="89">
        <v>1903</v>
      </c>
      <c r="U8" s="73">
        <v>42987.45</v>
      </c>
      <c r="V8" s="313">
        <v>1916</v>
      </c>
      <c r="W8" s="332">
        <v>44216.74</v>
      </c>
      <c r="X8" s="89">
        <v>2091</v>
      </c>
      <c r="Y8" s="28">
        <v>57088.22</v>
      </c>
      <c r="Z8" s="344">
        <f t="shared" si="0"/>
        <v>11231</v>
      </c>
      <c r="AA8" s="345">
        <f t="shared" si="0"/>
        <v>271886.65000000002</v>
      </c>
    </row>
    <row r="9" spans="1:27" x14ac:dyDescent="0.2">
      <c r="A9" t="s">
        <v>114</v>
      </c>
      <c r="B9" s="225">
        <v>5112</v>
      </c>
      <c r="C9" s="262">
        <v>208853</v>
      </c>
      <c r="D9" s="90">
        <v>5194</v>
      </c>
      <c r="E9" s="30">
        <v>172732</v>
      </c>
      <c r="F9" s="247">
        <v>4640</v>
      </c>
      <c r="G9" s="262">
        <v>165198.01</v>
      </c>
      <c r="H9" s="98">
        <v>4771</v>
      </c>
      <c r="I9" s="30">
        <v>161497</v>
      </c>
      <c r="J9" s="328">
        <v>3635</v>
      </c>
      <c r="K9" s="262">
        <v>116304</v>
      </c>
      <c r="L9" s="90">
        <v>3854</v>
      </c>
      <c r="M9" s="30">
        <v>124964</v>
      </c>
      <c r="N9" s="247">
        <v>4311</v>
      </c>
      <c r="O9" s="331">
        <v>93694</v>
      </c>
      <c r="P9" s="105">
        <v>3965</v>
      </c>
      <c r="Q9" s="26">
        <v>81716</v>
      </c>
      <c r="R9" s="247">
        <v>4869</v>
      </c>
      <c r="S9" s="262">
        <v>105424</v>
      </c>
      <c r="T9" s="90">
        <v>5064</v>
      </c>
      <c r="U9" s="154">
        <v>158651.99</v>
      </c>
      <c r="V9" s="336">
        <v>5264</v>
      </c>
      <c r="W9" s="331">
        <v>157919</v>
      </c>
      <c r="X9" s="90">
        <v>4936</v>
      </c>
      <c r="Y9" s="30">
        <v>159572.79999999999</v>
      </c>
      <c r="Z9" s="351">
        <f t="shared" si="0"/>
        <v>55615</v>
      </c>
      <c r="AA9" s="345">
        <f t="shared" si="0"/>
        <v>1706525.8</v>
      </c>
    </row>
    <row r="10" spans="1:27" x14ac:dyDescent="0.2">
      <c r="A10" t="s">
        <v>32</v>
      </c>
      <c r="B10" s="318">
        <v>1213</v>
      </c>
      <c r="C10" s="316">
        <v>49789</v>
      </c>
      <c r="D10" s="91">
        <f>239+4+19+9+838+213</f>
        <v>1322</v>
      </c>
      <c r="E10" s="31">
        <f>4384+1162.2+41219.81</f>
        <v>46766.009999999995</v>
      </c>
      <c r="F10" s="335">
        <f>453+7+283+7+688+172</f>
        <v>1610</v>
      </c>
      <c r="G10" s="316">
        <f>17578.84+2220.96+33173.51</f>
        <v>52973.31</v>
      </c>
      <c r="H10" s="99">
        <f>554+5+290+14+735+173</f>
        <v>1771</v>
      </c>
      <c r="I10" s="31">
        <f>21873+2731.36+32961.98</f>
        <v>57566.340000000004</v>
      </c>
      <c r="J10" s="326">
        <f>377+3+422+15+721+166</f>
        <v>1704</v>
      </c>
      <c r="K10" s="316">
        <f>14919+168.4+30456.69</f>
        <v>45544.09</v>
      </c>
      <c r="L10" s="91">
        <f>393+4+366+22+834+161</f>
        <v>1780</v>
      </c>
      <c r="M10" s="31">
        <f>14717+1339.21+34550.79</f>
        <v>50607</v>
      </c>
      <c r="N10" s="335">
        <f>319+436+13+743+157</f>
        <v>1668</v>
      </c>
      <c r="O10" s="334">
        <f>18068+34593.24</f>
        <v>52661.24</v>
      </c>
      <c r="P10" s="91">
        <f>394+350+16+581+1+186</f>
        <v>1528</v>
      </c>
      <c r="Q10" s="33">
        <f>33171.96+29938.29</f>
        <v>63110.25</v>
      </c>
      <c r="R10" s="335">
        <f>299+316+25+675+207</f>
        <v>1522</v>
      </c>
      <c r="S10" s="316">
        <f>16864.58+44212.26</f>
        <v>61076.840000000004</v>
      </c>
      <c r="T10" s="91">
        <v>1458</v>
      </c>
      <c r="U10" s="155">
        <v>52771.4</v>
      </c>
      <c r="V10" s="342">
        <v>1329</v>
      </c>
      <c r="W10" s="316">
        <v>46914.5</v>
      </c>
      <c r="X10" s="91">
        <v>1242</v>
      </c>
      <c r="Y10" s="32">
        <v>39486.65</v>
      </c>
      <c r="Z10" s="350">
        <f>SUM(B10,D10,F10,H10,J10,L10,N10,Q10,R10,T10,V10,X10)</f>
        <v>79729.25</v>
      </c>
      <c r="AA10" s="347">
        <f>SUM(C10,E10,G10,I10,K10,M10,O10,Q10,S10,U10,W10,Y10)</f>
        <v>619266.63</v>
      </c>
    </row>
    <row r="11" spans="1:27" x14ac:dyDescent="0.2">
      <c r="A11" t="s">
        <v>119</v>
      </c>
      <c r="B11" s="225"/>
      <c r="C11" s="319">
        <f>SUM(C7:C10)</f>
        <v>363261.66000000003</v>
      </c>
      <c r="D11" s="89"/>
      <c r="E11" s="29">
        <f>SUM(E7:E10)</f>
        <v>316678.44</v>
      </c>
      <c r="F11" s="327"/>
      <c r="G11" s="319">
        <f>SUM(G7:G10)</f>
        <v>316735.18</v>
      </c>
      <c r="H11" s="97"/>
      <c r="I11" s="29">
        <f>SUM(I7:I10)</f>
        <v>337506.25000000006</v>
      </c>
      <c r="J11" s="324"/>
      <c r="K11" s="319">
        <f>SUM(K7:K10)</f>
        <v>246099.48</v>
      </c>
      <c r="L11" s="89"/>
      <c r="M11" s="29">
        <f>SUM(M7:M10)</f>
        <v>259566.87</v>
      </c>
      <c r="N11" s="327"/>
      <c r="O11" s="319">
        <f>SUM(O7:O10)</f>
        <v>192030.12</v>
      </c>
      <c r="P11" s="89"/>
      <c r="Q11" s="29">
        <f>SUM(Q7:Q10)</f>
        <v>182295.18</v>
      </c>
      <c r="R11" s="324"/>
      <c r="S11" s="319">
        <f>SUM(S7:S10)</f>
        <v>211737.27</v>
      </c>
      <c r="T11" s="89"/>
      <c r="U11" s="75">
        <f>SUM(U7:U10)</f>
        <v>254410.84</v>
      </c>
      <c r="V11" s="327"/>
      <c r="W11" s="319">
        <f>SUM(W7:W10)</f>
        <v>249050.23999999999</v>
      </c>
      <c r="X11" s="89"/>
      <c r="Y11" s="29">
        <f>SUM(Y7:Y10)</f>
        <v>256147.66999999998</v>
      </c>
      <c r="Z11" s="344"/>
      <c r="AA11" s="349">
        <f>SUM(C11,E11,G11,I11,K11,M11,O11,Q11,S11,U11,W11,Y11)</f>
        <v>3185519.2</v>
      </c>
    </row>
    <row r="12" spans="1:27" x14ac:dyDescent="0.2">
      <c r="A12" t="s">
        <v>121</v>
      </c>
      <c r="B12" s="318"/>
      <c r="C12" s="320">
        <v>33333.339999999997</v>
      </c>
      <c r="D12" s="91"/>
      <c r="E12" s="33">
        <v>33333.33</v>
      </c>
      <c r="F12" s="335"/>
      <c r="G12" s="320">
        <v>33333.33</v>
      </c>
      <c r="H12" s="99"/>
      <c r="I12" s="33">
        <v>33333.339999999997</v>
      </c>
      <c r="J12" s="326"/>
      <c r="K12" s="320">
        <v>33333.33</v>
      </c>
      <c r="L12" s="91"/>
      <c r="M12" s="33">
        <v>33333.33</v>
      </c>
      <c r="N12" s="335"/>
      <c r="O12" s="320">
        <v>33333.339999999997</v>
      </c>
      <c r="P12" s="91"/>
      <c r="Q12" s="33">
        <v>33333.33</v>
      </c>
      <c r="R12" s="326"/>
      <c r="S12" s="320">
        <v>33333.33</v>
      </c>
      <c r="T12" s="91"/>
      <c r="U12" s="76">
        <v>33333.339999999997</v>
      </c>
      <c r="V12" s="335"/>
      <c r="W12" s="316">
        <v>33333.33</v>
      </c>
      <c r="X12" s="91"/>
      <c r="Y12" s="31">
        <v>33333.33</v>
      </c>
      <c r="Z12" s="350"/>
      <c r="AA12" s="347">
        <f>SUM(C12,E12,G12,I12,K12,M12,O12,Q12,S12,U12,W12,Y12)</f>
        <v>400000</v>
      </c>
    </row>
    <row r="13" spans="1:27" x14ac:dyDescent="0.2">
      <c r="A13" t="s">
        <v>118</v>
      </c>
      <c r="B13" s="225"/>
      <c r="C13" s="248">
        <f>SUM(C11:C12)</f>
        <v>396595</v>
      </c>
      <c r="D13" s="90"/>
      <c r="E13" s="26">
        <f>SUM(E11:E12)</f>
        <v>350011.77</v>
      </c>
      <c r="F13" s="247"/>
      <c r="G13" s="248">
        <f>SUM(G11:G12)</f>
        <v>350068.51</v>
      </c>
      <c r="H13" s="98"/>
      <c r="I13" s="26">
        <f>SUM(I11:I12)</f>
        <v>370839.59000000008</v>
      </c>
      <c r="J13" s="328"/>
      <c r="K13" s="248">
        <f>SUM(K11:K12)</f>
        <v>279432.81</v>
      </c>
      <c r="L13" s="90"/>
      <c r="M13" s="26">
        <f>SUM(M11:M12)</f>
        <v>292900.2</v>
      </c>
      <c r="N13" s="247"/>
      <c r="O13" s="248">
        <f>SUM(O11:O12)</f>
        <v>225363.46</v>
      </c>
      <c r="Q13" s="26">
        <f>SUM(Q11:Q12)</f>
        <v>215628.51</v>
      </c>
      <c r="R13" s="328"/>
      <c r="S13" s="248">
        <f>SUM(S11:S12)</f>
        <v>245070.59999999998</v>
      </c>
      <c r="T13" s="90"/>
      <c r="U13" s="77">
        <f>SUM(U11:U12)</f>
        <v>287744.18</v>
      </c>
      <c r="V13" s="247"/>
      <c r="W13" s="262">
        <f>SUM(W11:W12)</f>
        <v>282383.57</v>
      </c>
      <c r="X13" s="90"/>
      <c r="Y13" s="30">
        <f>SUM(Y11:Y12)</f>
        <v>289481</v>
      </c>
      <c r="Z13" s="351"/>
      <c r="AA13" s="345">
        <f>SUM(C13,E13,G13,I13,K13,M13,O13,Q13,S13,U13,W13,Y13)</f>
        <v>3585519.2000000007</v>
      </c>
    </row>
    <row r="14" spans="1:27" x14ac:dyDescent="0.2">
      <c r="B14" s="225"/>
      <c r="C14" s="248"/>
      <c r="D14" s="90"/>
      <c r="E14" s="26"/>
      <c r="F14" s="247"/>
      <c r="G14" s="248"/>
      <c r="H14" s="98"/>
      <c r="J14" s="255"/>
      <c r="K14" s="227"/>
      <c r="N14" s="225"/>
      <c r="O14" s="248"/>
      <c r="R14" s="255"/>
      <c r="S14" s="226"/>
      <c r="U14" s="77"/>
      <c r="V14" s="247"/>
      <c r="W14" s="262"/>
      <c r="X14" s="90"/>
      <c r="Z14" s="272"/>
      <c r="AA14" s="273"/>
    </row>
    <row r="15" spans="1:27" x14ac:dyDescent="0.2">
      <c r="A15" t="s">
        <v>116</v>
      </c>
      <c r="B15" s="225"/>
      <c r="C15" s="227"/>
      <c r="D15" s="90"/>
      <c r="E15" s="26"/>
      <c r="F15" s="247"/>
      <c r="G15" s="248"/>
      <c r="H15" s="98"/>
      <c r="J15" s="255"/>
      <c r="K15" s="227"/>
      <c r="N15" s="225"/>
      <c r="O15" s="248"/>
      <c r="R15" s="255"/>
      <c r="S15" s="226"/>
      <c r="U15" s="77"/>
      <c r="V15" s="247"/>
      <c r="W15" s="262"/>
      <c r="X15" s="90"/>
      <c r="Z15" s="272"/>
      <c r="AA15" s="273"/>
    </row>
    <row r="16" spans="1:27" x14ac:dyDescent="0.2">
      <c r="A16" s="4" t="s">
        <v>56</v>
      </c>
      <c r="B16" s="225"/>
      <c r="C16" s="248">
        <v>135721.98000000001</v>
      </c>
      <c r="D16" s="90"/>
      <c r="E16" s="34">
        <v>146969.46</v>
      </c>
      <c r="F16" s="247"/>
      <c r="G16" s="329">
        <v>137298.06</v>
      </c>
      <c r="H16" s="98"/>
      <c r="I16" s="34">
        <v>141559.25</v>
      </c>
      <c r="J16" s="328"/>
      <c r="K16" s="329">
        <v>119101.5</v>
      </c>
      <c r="L16" s="90"/>
      <c r="M16" s="66">
        <v>124725.24</v>
      </c>
      <c r="N16" s="225"/>
      <c r="O16" s="248">
        <v>137387.60999999999</v>
      </c>
      <c r="Q16" s="26">
        <v>147861.6</v>
      </c>
      <c r="R16" s="328"/>
      <c r="S16" s="262">
        <v>153470.79</v>
      </c>
      <c r="T16" s="90"/>
      <c r="U16" s="78">
        <v>150748.47</v>
      </c>
      <c r="V16" s="247"/>
      <c r="W16" s="262">
        <v>150103.71</v>
      </c>
      <c r="X16" s="90"/>
      <c r="Y16" s="156">
        <v>140933.79</v>
      </c>
      <c r="Z16" s="272"/>
      <c r="AA16" s="352">
        <f>SUM(C16:Y16)</f>
        <v>1685881.46</v>
      </c>
    </row>
    <row r="17" spans="1:30" x14ac:dyDescent="0.2">
      <c r="A17" s="4" t="s">
        <v>34</v>
      </c>
      <c r="B17" s="318"/>
      <c r="C17" s="321">
        <v>15156</v>
      </c>
      <c r="D17" s="91"/>
      <c r="E17" s="35">
        <v>16412</v>
      </c>
      <c r="F17" s="335"/>
      <c r="G17" s="321">
        <v>15332</v>
      </c>
      <c r="H17" s="99"/>
      <c r="I17" s="35">
        <v>16016.57</v>
      </c>
      <c r="J17" s="326"/>
      <c r="K17" s="321">
        <v>17172.89</v>
      </c>
      <c r="L17" s="91"/>
      <c r="M17" s="67">
        <v>18177.259999999998</v>
      </c>
      <c r="N17" s="318"/>
      <c r="O17" s="320">
        <v>20285.310000000001</v>
      </c>
      <c r="P17" s="91"/>
      <c r="Q17" s="33">
        <v>22312.5</v>
      </c>
      <c r="R17" s="326"/>
      <c r="S17" s="316">
        <v>27503.49</v>
      </c>
      <c r="T17" s="91"/>
      <c r="U17" s="79">
        <v>26964.81</v>
      </c>
      <c r="V17" s="335"/>
      <c r="W17" s="316">
        <v>25270.89</v>
      </c>
      <c r="X17" s="91"/>
      <c r="Y17" s="35">
        <v>23628.12</v>
      </c>
      <c r="Z17" s="350"/>
      <c r="AA17" s="347">
        <f>SUM(C17:Y17)</f>
        <v>244231.83999999997</v>
      </c>
    </row>
    <row r="18" spans="1:30" x14ac:dyDescent="0.2">
      <c r="A18" t="s">
        <v>62</v>
      </c>
      <c r="B18" s="225">
        <v>7578</v>
      </c>
      <c r="C18" s="248">
        <f>SUM(C16:C17)</f>
        <v>150877.98000000001</v>
      </c>
      <c r="D18" s="90">
        <v>8206</v>
      </c>
      <c r="E18" s="26">
        <f>SUM(E16:E17)</f>
        <v>163381.46</v>
      </c>
      <c r="F18" s="247">
        <v>7666</v>
      </c>
      <c r="G18" s="248">
        <f>SUM(G16:G17)</f>
        <v>152630.06</v>
      </c>
      <c r="H18" s="98">
        <v>7914</v>
      </c>
      <c r="I18" s="26">
        <f>SUM(I16:I17)</f>
        <v>157575.82</v>
      </c>
      <c r="J18" s="328">
        <v>6651</v>
      </c>
      <c r="K18" s="248">
        <f>SUM(K16:K17)</f>
        <v>136274.39000000001</v>
      </c>
      <c r="L18" s="90">
        <v>6974</v>
      </c>
      <c r="M18" s="26">
        <f>SUM(M16:M17)</f>
        <v>142902.5</v>
      </c>
      <c r="N18" s="247">
        <v>7673</v>
      </c>
      <c r="O18" s="248">
        <f>SUM(O16:O17)</f>
        <v>157672.91999999998</v>
      </c>
      <c r="P18" s="90">
        <v>7016</v>
      </c>
      <c r="Q18" s="26">
        <f>SUM(Q16:Q17)</f>
        <v>170174.1</v>
      </c>
      <c r="R18" s="247">
        <v>8572</v>
      </c>
      <c r="S18" s="248">
        <f>SUM(S16:S17)</f>
        <v>180974.28</v>
      </c>
      <c r="T18" s="90">
        <v>8419</v>
      </c>
      <c r="U18" s="80">
        <f>U16+U17</f>
        <v>177713.28</v>
      </c>
      <c r="V18" s="247">
        <v>8397</v>
      </c>
      <c r="W18" s="343">
        <f>W16+W17</f>
        <v>175374.59999999998</v>
      </c>
      <c r="X18" s="90">
        <v>7876</v>
      </c>
      <c r="Y18" s="34">
        <f>SUM(Y16:Y17)</f>
        <v>164561.91</v>
      </c>
      <c r="Z18" s="353">
        <f>SUM(B18,D18,F18,H18,J18,L18,N18,P18,R18,T18,V18,X18)</f>
        <v>92942</v>
      </c>
      <c r="AA18" s="345">
        <f>SUM(C18,E18,G18,I18,K18,M18,O18,Q18,S18,U18,W18,Y18)</f>
        <v>1930113.3</v>
      </c>
    </row>
    <row r="19" spans="1:30" x14ac:dyDescent="0.2">
      <c r="B19" s="225"/>
      <c r="C19" s="248"/>
      <c r="D19" s="90"/>
      <c r="E19" s="26"/>
      <c r="F19" s="90"/>
      <c r="G19" s="26"/>
      <c r="H19" s="98"/>
      <c r="I19" s="26"/>
      <c r="J19" s="328"/>
      <c r="K19" s="248"/>
      <c r="L19" s="90"/>
      <c r="M19" s="26"/>
      <c r="N19" s="247"/>
      <c r="O19" s="248"/>
      <c r="R19" s="255"/>
      <c r="S19" s="226"/>
      <c r="U19" s="77"/>
      <c r="V19" s="247"/>
      <c r="W19" s="262"/>
      <c r="X19" s="90"/>
      <c r="Z19" s="272"/>
      <c r="AA19" s="273"/>
    </row>
    <row r="20" spans="1:30" s="8" customFormat="1" ht="13.5" thickBot="1" x14ac:dyDescent="0.25">
      <c r="A20" s="361" t="s">
        <v>3</v>
      </c>
      <c r="B20" s="158"/>
      <c r="C20" s="159">
        <f>C13-C18</f>
        <v>245717.02</v>
      </c>
      <c r="D20" s="160"/>
      <c r="E20" s="159">
        <f>E13-E18</f>
        <v>186630.31000000003</v>
      </c>
      <c r="F20" s="160"/>
      <c r="G20" s="159">
        <f>G13-G18</f>
        <v>197438.45</v>
      </c>
      <c r="H20" s="161"/>
      <c r="I20" s="159">
        <f>I13-I18</f>
        <v>213263.77000000008</v>
      </c>
      <c r="J20" s="161"/>
      <c r="K20" s="159">
        <f>K13-K18</f>
        <v>143158.41999999998</v>
      </c>
      <c r="L20" s="160"/>
      <c r="M20" s="159">
        <f>M13-M18</f>
        <v>149997.70000000001</v>
      </c>
      <c r="N20" s="160"/>
      <c r="O20" s="159">
        <f>O13-O18</f>
        <v>67690.540000000008</v>
      </c>
      <c r="P20" s="160"/>
      <c r="Q20" s="159">
        <f>Q13-Q18</f>
        <v>45454.41</v>
      </c>
      <c r="R20" s="161"/>
      <c r="S20" s="159">
        <f>S13-S18</f>
        <v>64096.319999999978</v>
      </c>
      <c r="T20" s="160"/>
      <c r="U20" s="162">
        <f>U13-U18</f>
        <v>110030.9</v>
      </c>
      <c r="V20" s="160"/>
      <c r="W20" s="159">
        <f>W13-W18</f>
        <v>107008.97000000003</v>
      </c>
      <c r="X20" s="160"/>
      <c r="Y20" s="159">
        <f>Y13-Y18</f>
        <v>124919.09</v>
      </c>
      <c r="Z20" s="160"/>
      <c r="AA20" s="163">
        <f>SUM(AA13-AA18)</f>
        <v>1655405.9000000006</v>
      </c>
      <c r="AB20" s="60"/>
      <c r="AC20" s="60"/>
      <c r="AD20" s="60"/>
    </row>
    <row r="21" spans="1:30" x14ac:dyDescent="0.2">
      <c r="B21" s="225"/>
      <c r="C21" s="227"/>
      <c r="F21" s="225"/>
      <c r="G21" s="227"/>
      <c r="J21" s="255"/>
      <c r="K21" s="227"/>
      <c r="N21" s="225"/>
      <c r="O21" s="248"/>
      <c r="R21" s="255"/>
      <c r="S21" s="226"/>
      <c r="V21" s="225"/>
      <c r="W21" s="226"/>
      <c r="Z21" s="272"/>
      <c r="AA21" s="273"/>
    </row>
    <row r="22" spans="1:30" x14ac:dyDescent="0.2">
      <c r="B22" s="225"/>
      <c r="C22" s="227"/>
      <c r="F22" s="225"/>
      <c r="G22" s="227"/>
      <c r="J22" s="255"/>
      <c r="K22" s="227"/>
      <c r="N22" s="225"/>
      <c r="O22" s="248"/>
      <c r="R22" s="255"/>
      <c r="S22" s="226"/>
      <c r="V22" s="225"/>
      <c r="W22" s="226"/>
      <c r="Z22" s="272"/>
      <c r="AA22" s="273"/>
    </row>
    <row r="23" spans="1:30" x14ac:dyDescent="0.2">
      <c r="A23" s="45" t="s">
        <v>39</v>
      </c>
      <c r="B23" s="225"/>
      <c r="C23" s="227"/>
      <c r="F23" s="225"/>
      <c r="G23" s="227"/>
      <c r="J23" s="255"/>
      <c r="K23" s="227"/>
      <c r="N23" s="225"/>
      <c r="O23" s="248"/>
      <c r="R23" s="255"/>
      <c r="S23" s="226"/>
      <c r="V23" s="225"/>
      <c r="W23" s="226"/>
      <c r="Z23" s="272"/>
      <c r="AA23" s="273"/>
    </row>
    <row r="24" spans="1:30" x14ac:dyDescent="0.2">
      <c r="A24" s="46" t="s">
        <v>40</v>
      </c>
      <c r="B24" s="318">
        <v>70</v>
      </c>
      <c r="C24" s="358"/>
      <c r="D24" s="92">
        <v>110</v>
      </c>
      <c r="E24" s="49"/>
      <c r="F24" s="318">
        <v>57</v>
      </c>
      <c r="G24" s="358"/>
      <c r="H24" s="92">
        <v>55</v>
      </c>
      <c r="I24" s="49"/>
      <c r="J24" s="365">
        <v>41</v>
      </c>
      <c r="K24" s="358"/>
      <c r="L24" s="92">
        <v>93</v>
      </c>
      <c r="M24" s="49"/>
      <c r="N24" s="318"/>
      <c r="O24" s="320"/>
      <c r="P24" s="91"/>
      <c r="Q24" s="49"/>
      <c r="R24" s="318"/>
      <c r="S24" s="367"/>
      <c r="T24" s="92"/>
      <c r="U24" s="58"/>
      <c r="V24" s="318"/>
      <c r="W24" s="367"/>
      <c r="X24" s="92"/>
      <c r="Y24" s="48"/>
      <c r="Z24" s="354">
        <f>SUM(B24,D24,F24,H24,J24,L24,N24,P24,R24,T24,V24,X24)</f>
        <v>426</v>
      </c>
      <c r="AA24" s="362"/>
    </row>
    <row r="25" spans="1:30" x14ac:dyDescent="0.2">
      <c r="A25" s="46" t="s">
        <v>51</v>
      </c>
      <c r="B25" s="359">
        <f>B24/B7</f>
        <v>4.3777360850531584E-2</v>
      </c>
      <c r="C25" s="227"/>
      <c r="D25" s="139">
        <f>D24/D7</f>
        <v>7.3677160080375087E-2</v>
      </c>
      <c r="F25" s="359">
        <f>F24/F7</f>
        <v>3.6679536679536683E-2</v>
      </c>
      <c r="G25" s="227"/>
      <c r="H25" s="139">
        <f>H24/H7</f>
        <v>3.2333921222810112E-2</v>
      </c>
      <c r="J25" s="359">
        <f>J24/J7</f>
        <v>3.2513877874702619E-2</v>
      </c>
      <c r="K25" s="227"/>
      <c r="L25" s="139">
        <f>L24/L7</f>
        <v>6.5724381625441697E-2</v>
      </c>
      <c r="N25" s="359"/>
      <c r="O25" s="227"/>
      <c r="P25" s="139"/>
      <c r="R25" s="359"/>
      <c r="S25" s="227"/>
      <c r="T25" s="139"/>
      <c r="U25"/>
      <c r="V25" s="359"/>
      <c r="W25" s="227"/>
      <c r="X25" s="139"/>
      <c r="Y25"/>
      <c r="Z25" s="363">
        <f>Z24/Z7</f>
        <v>4.7165633303808678E-2</v>
      </c>
      <c r="AA25" s="364"/>
    </row>
    <row r="26" spans="1:30" x14ac:dyDescent="0.2">
      <c r="B26" s="225"/>
      <c r="C26" s="227"/>
      <c r="F26" s="225"/>
      <c r="G26" s="227"/>
      <c r="H26" s="88"/>
      <c r="J26" s="225"/>
      <c r="K26" s="227"/>
      <c r="N26" s="225"/>
      <c r="O26" s="248"/>
      <c r="P26" s="88"/>
      <c r="R26" s="225"/>
      <c r="S26" s="226"/>
      <c r="V26" s="225"/>
      <c r="W26" s="226"/>
      <c r="Z26" s="272"/>
      <c r="AA26" s="273"/>
    </row>
    <row r="27" spans="1:30" x14ac:dyDescent="0.2">
      <c r="A27" t="s">
        <v>37</v>
      </c>
      <c r="B27" s="318">
        <f>SUM(B7,B9,B10,B24)</f>
        <v>7994</v>
      </c>
      <c r="C27" s="322">
        <v>2190528.48</v>
      </c>
      <c r="D27" s="92">
        <f>SUM(D7,D9,D10,D24)</f>
        <v>8119</v>
      </c>
      <c r="E27" s="57">
        <v>2097482.44</v>
      </c>
      <c r="F27" s="318">
        <f>SUM(F7,F9,F10,F24)</f>
        <v>7861</v>
      </c>
      <c r="G27" s="322">
        <v>2063874.27</v>
      </c>
      <c r="H27" s="92">
        <f>SUM(H7,H9,H10,H24)</f>
        <v>8298</v>
      </c>
      <c r="I27" s="57">
        <v>2112983.2599999998</v>
      </c>
      <c r="J27" s="318">
        <f>SUM(J7,J9,J10,J24)</f>
        <v>6641</v>
      </c>
      <c r="K27" s="322">
        <v>1622903.81</v>
      </c>
      <c r="L27" s="92">
        <f>SUM(L7,L9,L10,L24)</f>
        <v>7142</v>
      </c>
      <c r="M27" s="57">
        <v>1893325.22</v>
      </c>
      <c r="N27" s="318">
        <f>SUM(N7,N8,N9,N10,N24)</f>
        <v>7821</v>
      </c>
      <c r="O27" s="366">
        <v>2147571.52</v>
      </c>
      <c r="P27" s="92">
        <f>SUM(P7,P8,P9,P10,P24)</f>
        <v>7051</v>
      </c>
      <c r="Q27" s="57">
        <v>1875763.63</v>
      </c>
      <c r="R27" s="318">
        <f>SUM(R7,R8,R9,R10,R24)</f>
        <v>8321</v>
      </c>
      <c r="S27" s="339">
        <v>2035072.69</v>
      </c>
      <c r="T27" s="92">
        <f>SUM(T7,T8,T9,T10,T24)</f>
        <v>8425</v>
      </c>
      <c r="U27" s="58">
        <v>2135283.08</v>
      </c>
      <c r="V27" s="318">
        <f>SUM(V7,V8,V9,V10,V24)</f>
        <v>8509</v>
      </c>
      <c r="W27" s="368">
        <v>2238101.0299999998</v>
      </c>
      <c r="X27" s="92">
        <f>SUM(X7,X8,X9,X10,X24)</f>
        <v>8269</v>
      </c>
      <c r="Y27" s="48">
        <v>2078025.58</v>
      </c>
      <c r="Z27" s="354">
        <f>SUM(B27,D27,F27,H27,J27,L27,N27,P27,R27,T27,V27,X27)</f>
        <v>94451</v>
      </c>
      <c r="AA27" s="355">
        <f>SUM(C27,E27,G27,I27,K27,M27,O27,Q27,S27,U27,W27,Y27)</f>
        <v>24490915.009999998</v>
      </c>
    </row>
    <row r="28" spans="1:30" x14ac:dyDescent="0.2">
      <c r="A28" s="46" t="s">
        <v>41</v>
      </c>
      <c r="B28" s="225"/>
      <c r="C28" s="323">
        <f>C20/C27</f>
        <v>0.11217248360085233</v>
      </c>
      <c r="E28" s="50">
        <f>E20/E27</f>
        <v>8.8978246702270378E-2</v>
      </c>
      <c r="F28" s="225"/>
      <c r="G28" s="323">
        <f>G20/G27</f>
        <v>9.5663991198456103E-2</v>
      </c>
      <c r="I28" s="50">
        <f>I20/I27</f>
        <v>0.10093017490351537</v>
      </c>
      <c r="J28" s="255"/>
      <c r="K28" s="323">
        <f>K20/K27</f>
        <v>8.8211278523032108E-2</v>
      </c>
      <c r="M28" s="50">
        <f>M20/M27</f>
        <v>7.9224476817564393E-2</v>
      </c>
      <c r="N28" s="225"/>
      <c r="O28" s="323">
        <f>O20/O27</f>
        <v>3.1519574258462885E-2</v>
      </c>
      <c r="Q28" s="50">
        <f>Q20/Q27</f>
        <v>2.4232482852863505E-2</v>
      </c>
      <c r="R28" s="255"/>
      <c r="S28" s="340">
        <f>S20/S27</f>
        <v>3.149583811672102E-2</v>
      </c>
      <c r="U28" s="70">
        <f>U20/U27</f>
        <v>5.1529888955051333E-2</v>
      </c>
      <c r="V28" s="225"/>
      <c r="W28" s="340">
        <f>W20/W27</f>
        <v>4.7812394778264343E-2</v>
      </c>
      <c r="Y28" s="50">
        <f>Y20/Y27</f>
        <v>6.0114317745790208E-2</v>
      </c>
      <c r="Z28" s="272"/>
      <c r="AA28" s="356">
        <f>AA20/AA27</f>
        <v>6.7592652186497487E-2</v>
      </c>
    </row>
    <row r="29" spans="1:30" x14ac:dyDescent="0.2">
      <c r="B29" s="225"/>
      <c r="C29" s="227"/>
    </row>
    <row r="30" spans="1:30" x14ac:dyDescent="0.2">
      <c r="A30" s="61"/>
    </row>
    <row r="31" spans="1:30" s="216" customFormat="1" x14ac:dyDescent="0.2">
      <c r="A31" s="437" t="s">
        <v>49</v>
      </c>
      <c r="B31" s="215"/>
      <c r="D31" s="215"/>
      <c r="F31" s="215"/>
      <c r="H31" s="217"/>
      <c r="J31" s="217"/>
      <c r="L31" s="215"/>
      <c r="N31" s="215"/>
      <c r="O31" s="438"/>
      <c r="P31" s="439"/>
      <c r="R31" s="217"/>
      <c r="S31" s="440"/>
      <c r="T31" s="215"/>
      <c r="U31" s="441"/>
      <c r="V31" s="215"/>
      <c r="W31" s="440"/>
      <c r="X31" s="215"/>
      <c r="Y31" s="440"/>
      <c r="Z31" s="215"/>
      <c r="AA31" s="440"/>
    </row>
    <row r="34" spans="5:27" x14ac:dyDescent="0.2">
      <c r="E34" s="51"/>
    </row>
    <row r="35" spans="5:27" x14ac:dyDescent="0.2">
      <c r="AA35" s="38"/>
    </row>
    <row r="37" spans="5:27" x14ac:dyDescent="0.2">
      <c r="U37" s="80"/>
    </row>
  </sheetData>
  <phoneticPr fontId="0" type="noConversion"/>
  <pageMargins left="0.17" right="0.16" top="1" bottom="1" header="0.5" footer="0.5"/>
  <pageSetup scale="52" orientation="landscape" r:id="rId1"/>
  <headerFooter alignWithMargins="0">
    <oddFooter xml:space="preserve">&amp;L&amp;F&amp;CFY09 Calculated Savings
Medicaid&amp;RPrepared by Sunny Israelson
&amp;D
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Cost Report Codes</vt:lpstr>
      <vt:lpstr>FY 2016</vt:lpstr>
      <vt:lpstr>FY 2015</vt:lpstr>
      <vt:lpstr>FY 2014</vt:lpstr>
      <vt:lpstr>FY 2013</vt:lpstr>
      <vt:lpstr>FY 2012</vt:lpstr>
      <vt:lpstr>FY 2011</vt:lpstr>
      <vt:lpstr>FY 2010</vt:lpstr>
      <vt:lpstr>FY 2009</vt:lpstr>
      <vt:lpstr>FY 2008</vt:lpstr>
      <vt:lpstr>FY 2007</vt:lpstr>
      <vt:lpstr>FY 2006</vt:lpstr>
      <vt:lpstr>FY 2005</vt:lpstr>
      <vt:lpstr>'FY 2007'!Print_Area</vt:lpstr>
      <vt:lpstr>'FY 2008'!Print_Area</vt:lpstr>
      <vt:lpstr>'FY 2009'!Print_Area</vt:lpstr>
      <vt:lpstr>'FY 2010'!Print_Area</vt:lpstr>
      <vt:lpstr>'FY 2011'!Print_Area</vt:lpstr>
      <vt:lpstr>'FY 2012'!Print_Area</vt:lpstr>
    </vt:vector>
  </TitlesOfParts>
  <Company>Department of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Meier, Danielle R (DOA)</cp:lastModifiedBy>
  <cp:lastPrinted>2016-07-25T18:30:15Z</cp:lastPrinted>
  <dcterms:created xsi:type="dcterms:W3CDTF">2005-02-17T21:39:35Z</dcterms:created>
  <dcterms:modified xsi:type="dcterms:W3CDTF">2016-07-25T18:30:18Z</dcterms:modified>
</cp:coreProperties>
</file>